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c255cbb45b65aa/Dokumen/"/>
    </mc:Choice>
  </mc:AlternateContent>
  <xr:revisionPtr revIDLastSave="50" documentId="8_{E490917A-F25C-436C-9226-1D435BD76B50}" xr6:coauthVersionLast="47" xr6:coauthVersionMax="47" xr10:uidLastSave="{9954EE1F-DD71-42B5-9F5A-CA7DF02500B1}"/>
  <bookViews>
    <workbookView xWindow="-110" yWindow="-110" windowWidth="19420" windowHeight="10300" activeTab="2" xr2:uid="{FF0FAC48-F0C1-489A-BC0E-545BCA50D66C}"/>
  </bookViews>
  <sheets>
    <sheet name="ROA" sheetId="1" r:id="rId1"/>
    <sheet name="DER" sheetId="2" r:id="rId2"/>
    <sheet name="SR-GRI4" sheetId="4" r:id="rId3"/>
    <sheet name="PROPER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O146" i="4" l="1"/>
  <c r="CN146" i="4"/>
  <c r="CM146" i="4"/>
  <c r="CL146" i="4"/>
  <c r="CK146" i="4"/>
  <c r="CJ146" i="4"/>
  <c r="CI146" i="4"/>
  <c r="CH146" i="4"/>
  <c r="CG146" i="4"/>
  <c r="CF146" i="4"/>
  <c r="CE146" i="4"/>
  <c r="CD146" i="4"/>
  <c r="CC146" i="4"/>
  <c r="CB146" i="4"/>
  <c r="CA146" i="4"/>
  <c r="BZ146" i="4"/>
  <c r="BY146" i="4"/>
  <c r="BX146" i="4"/>
  <c r="BW146" i="4"/>
  <c r="BV146" i="4"/>
  <c r="BU146" i="4"/>
  <c r="BT146" i="4"/>
  <c r="BS146" i="4"/>
  <c r="BR146" i="4"/>
  <c r="BQ146" i="4"/>
  <c r="BP146" i="4"/>
  <c r="BO146" i="4"/>
  <c r="BN146" i="4"/>
  <c r="BM146" i="4"/>
  <c r="BL146" i="4"/>
  <c r="BK146" i="4"/>
  <c r="BJ146" i="4"/>
  <c r="BI146" i="4"/>
  <c r="BH146" i="4"/>
  <c r="BG146" i="4"/>
  <c r="BF146" i="4"/>
  <c r="BE146" i="4"/>
  <c r="BD146" i="4"/>
  <c r="BC146" i="4"/>
  <c r="BB146" i="4"/>
  <c r="BA146" i="4"/>
  <c r="AZ146" i="4"/>
  <c r="AY146" i="4"/>
  <c r="AX146" i="4"/>
  <c r="AW146" i="4"/>
  <c r="AV146" i="4"/>
  <c r="AU146" i="4"/>
  <c r="AT146" i="4"/>
  <c r="AS146" i="4"/>
  <c r="AR146" i="4"/>
  <c r="AQ146" i="4"/>
  <c r="AP146" i="4"/>
  <c r="AO146" i="4"/>
  <c r="AN146" i="4"/>
  <c r="AM146" i="4"/>
  <c r="AL146" i="4"/>
  <c r="AK146" i="4"/>
  <c r="AJ146" i="4"/>
  <c r="AI146" i="4"/>
  <c r="AH146" i="4"/>
  <c r="AG146" i="4"/>
  <c r="AF146" i="4"/>
  <c r="AE146" i="4"/>
  <c r="AD146" i="4"/>
  <c r="AC146" i="4"/>
  <c r="AB146" i="4"/>
  <c r="AA146" i="4"/>
  <c r="Z146" i="4"/>
  <c r="Y146" i="4"/>
  <c r="X146" i="4"/>
  <c r="W146" i="4"/>
  <c r="V146" i="4"/>
  <c r="U146" i="4"/>
  <c r="T146" i="4"/>
  <c r="S146" i="4"/>
  <c r="R146" i="4"/>
  <c r="Q146" i="4"/>
  <c r="P146" i="4"/>
  <c r="O146" i="4"/>
  <c r="N146" i="4"/>
  <c r="M146" i="4"/>
  <c r="L146" i="4"/>
  <c r="K146" i="4"/>
  <c r="J146" i="4"/>
  <c r="I146" i="4"/>
  <c r="H146" i="4"/>
  <c r="G146" i="4"/>
  <c r="F146" i="4"/>
  <c r="E146" i="4"/>
  <c r="D146" i="4"/>
  <c r="I246" i="2"/>
  <c r="H246" i="2"/>
  <c r="F246" i="2"/>
  <c r="I245" i="2"/>
  <c r="H245" i="2"/>
  <c r="F245" i="2"/>
  <c r="I244" i="2"/>
  <c r="H244" i="2"/>
  <c r="F244" i="2"/>
  <c r="I243" i="2"/>
  <c r="H243" i="2"/>
  <c r="F243" i="2"/>
  <c r="I242" i="2"/>
  <c r="H242" i="2"/>
  <c r="F242" i="2"/>
  <c r="I241" i="2"/>
  <c r="H241" i="2"/>
  <c r="F241" i="2"/>
  <c r="I240" i="2"/>
  <c r="H240" i="2"/>
  <c r="F240" i="2"/>
  <c r="I239" i="2"/>
  <c r="H239" i="2"/>
  <c r="F239" i="2"/>
  <c r="I238" i="2"/>
  <c r="H238" i="2"/>
  <c r="F238" i="2"/>
  <c r="I237" i="2"/>
  <c r="H237" i="2"/>
  <c r="F237" i="2"/>
  <c r="I236" i="2"/>
  <c r="H236" i="2"/>
  <c r="F236" i="2"/>
  <c r="I235" i="2"/>
  <c r="H235" i="2"/>
  <c r="F235" i="2"/>
  <c r="I234" i="2"/>
  <c r="H234" i="2"/>
  <c r="F234" i="2"/>
  <c r="I233" i="2"/>
  <c r="H233" i="2"/>
  <c r="F233" i="2"/>
  <c r="I232" i="2"/>
  <c r="H232" i="2"/>
  <c r="F232" i="2"/>
  <c r="I231" i="2"/>
  <c r="H231" i="2"/>
  <c r="F231" i="2"/>
  <c r="I230" i="2"/>
  <c r="H230" i="2"/>
  <c r="F230" i="2"/>
  <c r="I229" i="2"/>
  <c r="H229" i="2"/>
  <c r="F229" i="2"/>
  <c r="I228" i="2"/>
  <c r="H228" i="2"/>
  <c r="F228" i="2"/>
  <c r="I227" i="2"/>
  <c r="H227" i="2"/>
  <c r="F227" i="2"/>
  <c r="F226" i="2"/>
  <c r="F225" i="2"/>
  <c r="F224" i="2"/>
  <c r="F223" i="2"/>
  <c r="F222" i="2"/>
  <c r="F221" i="2"/>
  <c r="F220" i="2"/>
  <c r="F219" i="2"/>
  <c r="F218" i="2"/>
  <c r="F217" i="2"/>
  <c r="I216" i="2"/>
  <c r="H216" i="2"/>
  <c r="F216" i="2"/>
  <c r="I215" i="2"/>
  <c r="H215" i="2"/>
  <c r="F215" i="2"/>
  <c r="I214" i="2"/>
  <c r="H214" i="2"/>
  <c r="F214" i="2"/>
  <c r="I213" i="2"/>
  <c r="H213" i="2"/>
  <c r="F213" i="2"/>
  <c r="I212" i="2"/>
  <c r="H212" i="2"/>
  <c r="F212" i="2"/>
  <c r="I211" i="2"/>
  <c r="H211" i="2"/>
  <c r="F211" i="2"/>
  <c r="I210" i="2"/>
  <c r="H210" i="2"/>
  <c r="F210" i="2"/>
  <c r="I209" i="2"/>
  <c r="H209" i="2"/>
  <c r="F209" i="2"/>
  <c r="I208" i="2"/>
  <c r="H208" i="2"/>
  <c r="F208" i="2"/>
  <c r="I207" i="2"/>
  <c r="H207" i="2"/>
  <c r="F207" i="2"/>
  <c r="F206" i="2"/>
  <c r="F205" i="2"/>
  <c r="F204" i="2"/>
  <c r="F203" i="2"/>
  <c r="F202" i="2"/>
  <c r="I201" i="2"/>
  <c r="H201" i="2"/>
  <c r="F201" i="2"/>
  <c r="I200" i="2"/>
  <c r="H200" i="2"/>
  <c r="F200" i="2"/>
  <c r="I199" i="2"/>
  <c r="H199" i="2"/>
  <c r="F199" i="2"/>
  <c r="I198" i="2"/>
  <c r="H198" i="2"/>
  <c r="F198" i="2"/>
  <c r="I197" i="2"/>
  <c r="H197" i="2"/>
  <c r="F197" i="2"/>
  <c r="I196" i="2"/>
  <c r="H196" i="2"/>
  <c r="F196" i="2"/>
  <c r="I195" i="2"/>
  <c r="H195" i="2"/>
  <c r="F195" i="2"/>
  <c r="I194" i="2"/>
  <c r="H194" i="2"/>
  <c r="F194" i="2"/>
  <c r="I193" i="2"/>
  <c r="H193" i="2"/>
  <c r="F193" i="2"/>
  <c r="I192" i="2"/>
  <c r="H192" i="2"/>
  <c r="F192" i="2"/>
  <c r="I191" i="2"/>
  <c r="H191" i="2"/>
  <c r="F191" i="2"/>
  <c r="I190" i="2"/>
  <c r="H190" i="2"/>
  <c r="F190" i="2"/>
  <c r="I189" i="2"/>
  <c r="H189" i="2"/>
  <c r="F189" i="2"/>
  <c r="I188" i="2"/>
  <c r="H188" i="2"/>
  <c r="F188" i="2"/>
  <c r="I187" i="2"/>
  <c r="H187" i="2"/>
  <c r="F187" i="2"/>
  <c r="I186" i="2"/>
  <c r="H186" i="2"/>
  <c r="F186" i="2"/>
  <c r="I185" i="2"/>
  <c r="H185" i="2"/>
  <c r="F185" i="2"/>
  <c r="I184" i="2"/>
  <c r="H184" i="2"/>
  <c r="F184" i="2"/>
  <c r="I183" i="2"/>
  <c r="H183" i="2"/>
  <c r="F183" i="2"/>
  <c r="I182" i="2"/>
  <c r="H182" i="2"/>
  <c r="F182" i="2"/>
  <c r="I181" i="2"/>
  <c r="H181" i="2"/>
  <c r="F181" i="2"/>
  <c r="I180" i="2"/>
  <c r="H180" i="2"/>
  <c r="F180" i="2"/>
  <c r="I179" i="2"/>
  <c r="H179" i="2"/>
  <c r="F179" i="2"/>
  <c r="I178" i="2"/>
  <c r="H178" i="2"/>
  <c r="F178" i="2"/>
  <c r="I177" i="2"/>
  <c r="H177" i="2"/>
  <c r="F177" i="2"/>
  <c r="F176" i="2"/>
  <c r="F175" i="2"/>
  <c r="F174" i="2"/>
  <c r="F173" i="2"/>
  <c r="F172" i="2"/>
  <c r="I171" i="2"/>
  <c r="H171" i="2"/>
  <c r="F171" i="2"/>
  <c r="I170" i="2"/>
  <c r="H170" i="2"/>
  <c r="F170" i="2"/>
  <c r="I169" i="2"/>
  <c r="H169" i="2"/>
  <c r="F169" i="2"/>
  <c r="I168" i="2"/>
  <c r="H168" i="2"/>
  <c r="F168" i="2"/>
  <c r="I167" i="2"/>
  <c r="H167" i="2"/>
  <c r="F167" i="2"/>
  <c r="I166" i="2"/>
  <c r="H166" i="2"/>
  <c r="F166" i="2"/>
  <c r="I165" i="2"/>
  <c r="H165" i="2"/>
  <c r="F165" i="2"/>
  <c r="I164" i="2"/>
  <c r="H164" i="2"/>
  <c r="F164" i="2"/>
  <c r="I163" i="2"/>
  <c r="H163" i="2"/>
  <c r="F163" i="2"/>
  <c r="I162" i="2"/>
  <c r="H162" i="2"/>
  <c r="F162" i="2"/>
  <c r="I161" i="2"/>
  <c r="H161" i="2"/>
  <c r="F161" i="2"/>
  <c r="I160" i="2"/>
  <c r="H160" i="2"/>
  <c r="F160" i="2"/>
  <c r="I159" i="2"/>
  <c r="H159" i="2"/>
  <c r="F159" i="2"/>
  <c r="I158" i="2"/>
  <c r="H158" i="2"/>
  <c r="F158" i="2"/>
  <c r="I157" i="2"/>
  <c r="H157" i="2"/>
  <c r="F157" i="2"/>
  <c r="F156" i="2"/>
  <c r="F155" i="2"/>
  <c r="F154" i="2"/>
  <c r="F153" i="2"/>
  <c r="F152" i="2"/>
  <c r="I151" i="2"/>
  <c r="H151" i="2"/>
  <c r="F151" i="2"/>
  <c r="I150" i="2"/>
  <c r="H150" i="2"/>
  <c r="F150" i="2"/>
  <c r="I149" i="2"/>
  <c r="H149" i="2"/>
  <c r="F149" i="2"/>
  <c r="I148" i="2"/>
  <c r="H148" i="2"/>
  <c r="F148" i="2"/>
  <c r="I147" i="2"/>
  <c r="H147" i="2"/>
  <c r="F147" i="2"/>
  <c r="F146" i="2"/>
  <c r="F145" i="2"/>
  <c r="F144" i="2"/>
  <c r="F143" i="2"/>
  <c r="F142" i="2"/>
  <c r="I141" i="2"/>
  <c r="H141" i="2"/>
  <c r="F141" i="2"/>
  <c r="I140" i="2"/>
  <c r="H140" i="2"/>
  <c r="F140" i="2"/>
  <c r="I139" i="2"/>
  <c r="H139" i="2"/>
  <c r="F139" i="2"/>
  <c r="I138" i="2"/>
  <c r="H138" i="2"/>
  <c r="F138" i="2"/>
  <c r="I137" i="2"/>
  <c r="H137" i="2"/>
  <c r="F137" i="2"/>
  <c r="F136" i="2"/>
  <c r="F135" i="2"/>
  <c r="F134" i="2"/>
  <c r="F133" i="2"/>
  <c r="F132" i="2"/>
  <c r="F131" i="2"/>
  <c r="F130" i="2"/>
  <c r="F129" i="2"/>
  <c r="I128" i="2"/>
  <c r="H128" i="2"/>
  <c r="F128" i="2"/>
  <c r="I127" i="2"/>
  <c r="H127" i="2"/>
  <c r="F127" i="2"/>
  <c r="I126" i="2"/>
  <c r="H126" i="2"/>
  <c r="F126" i="2"/>
  <c r="I125" i="2"/>
  <c r="H125" i="2"/>
  <c r="F125" i="2"/>
  <c r="I124" i="2"/>
  <c r="H124" i="2"/>
  <c r="F124" i="2"/>
  <c r="I123" i="2"/>
  <c r="H123" i="2"/>
  <c r="F123" i="2"/>
  <c r="I122" i="2"/>
  <c r="H122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I81" i="2"/>
  <c r="H81" i="2"/>
  <c r="F81" i="2"/>
  <c r="I80" i="2"/>
  <c r="H80" i="2"/>
  <c r="F80" i="2"/>
  <c r="I79" i="2"/>
  <c r="H79" i="2"/>
  <c r="F79" i="2"/>
  <c r="I78" i="2"/>
  <c r="H78" i="2"/>
  <c r="F78" i="2"/>
  <c r="I77" i="2"/>
  <c r="H77" i="2"/>
  <c r="F77" i="2"/>
  <c r="I76" i="2"/>
  <c r="H76" i="2"/>
  <c r="F76" i="2"/>
  <c r="I75" i="2"/>
  <c r="H75" i="2"/>
  <c r="F75" i="2"/>
  <c r="I74" i="2"/>
  <c r="H74" i="2"/>
  <c r="F74" i="2"/>
  <c r="I73" i="2"/>
  <c r="H73" i="2"/>
  <c r="F73" i="2"/>
  <c r="I72" i="2"/>
  <c r="H72" i="2"/>
  <c r="F72" i="2"/>
  <c r="F71" i="2"/>
  <c r="F70" i="2"/>
  <c r="F69" i="2"/>
  <c r="F68" i="2"/>
  <c r="F67" i="2"/>
  <c r="F66" i="2"/>
  <c r="I65" i="2"/>
  <c r="H65" i="2"/>
  <c r="F65" i="2"/>
  <c r="I64" i="2"/>
  <c r="H64" i="2"/>
  <c r="F64" i="2"/>
  <c r="I63" i="2"/>
  <c r="H63" i="2"/>
  <c r="F63" i="2"/>
  <c r="I62" i="2"/>
  <c r="H62" i="2"/>
  <c r="F62" i="2"/>
  <c r="I61" i="2"/>
  <c r="H61" i="2"/>
  <c r="F61" i="2"/>
  <c r="I60" i="2"/>
  <c r="H60" i="2"/>
  <c r="F60" i="2"/>
  <c r="I59" i="2"/>
  <c r="H59" i="2"/>
  <c r="F59" i="2"/>
  <c r="I58" i="2"/>
  <c r="H58" i="2"/>
  <c r="F58" i="2"/>
  <c r="I57" i="2"/>
  <c r="H57" i="2"/>
  <c r="F57" i="2"/>
  <c r="I56" i="2"/>
  <c r="H56" i="2"/>
  <c r="F56" i="2"/>
  <c r="I55" i="2"/>
  <c r="H55" i="2"/>
  <c r="F55" i="2"/>
  <c r="I54" i="2"/>
  <c r="H54" i="2"/>
  <c r="F54" i="2"/>
  <c r="I53" i="2"/>
  <c r="H53" i="2"/>
  <c r="F53" i="2"/>
  <c r="I52" i="2"/>
  <c r="H52" i="2"/>
  <c r="F52" i="2"/>
  <c r="I51" i="2"/>
  <c r="H51" i="2"/>
  <c r="F51" i="2"/>
  <c r="I50" i="2"/>
  <c r="H50" i="2"/>
  <c r="F50" i="2"/>
  <c r="I49" i="2"/>
  <c r="H49" i="2"/>
  <c r="F49" i="2"/>
  <c r="I48" i="2"/>
  <c r="H48" i="2"/>
  <c r="F48" i="2"/>
  <c r="I47" i="2"/>
  <c r="H47" i="2"/>
  <c r="F47" i="2"/>
  <c r="I46" i="2"/>
  <c r="H46" i="2"/>
  <c r="F46" i="2"/>
  <c r="I45" i="2"/>
  <c r="H45" i="2"/>
  <c r="F45" i="2"/>
  <c r="I44" i="2"/>
  <c r="H44" i="2"/>
  <c r="F44" i="2"/>
  <c r="I43" i="2"/>
  <c r="H43" i="2"/>
  <c r="F43" i="2"/>
  <c r="I42" i="2"/>
  <c r="H42" i="2"/>
  <c r="F42" i="2"/>
  <c r="F41" i="2"/>
  <c r="F40" i="2"/>
  <c r="F39" i="2"/>
  <c r="F38" i="2"/>
  <c r="F37" i="2"/>
  <c r="F36" i="2"/>
  <c r="F35" i="2"/>
  <c r="F34" i="2"/>
  <c r="F33" i="2"/>
  <c r="H32" i="2"/>
  <c r="F32" i="2"/>
  <c r="I31" i="2"/>
  <c r="H31" i="2"/>
  <c r="F31" i="2"/>
  <c r="I30" i="2"/>
  <c r="H30" i="2"/>
  <c r="F30" i="2"/>
  <c r="I29" i="2"/>
  <c r="H29" i="2"/>
  <c r="F29" i="2"/>
  <c r="I28" i="2"/>
  <c r="H28" i="2"/>
  <c r="F28" i="2"/>
  <c r="I27" i="2"/>
  <c r="H27" i="2"/>
  <c r="F27" i="2"/>
  <c r="I26" i="2"/>
  <c r="H26" i="2"/>
  <c r="F26" i="2"/>
  <c r="I25" i="2"/>
  <c r="H25" i="2"/>
  <c r="F25" i="2"/>
  <c r="I24" i="2"/>
  <c r="H24" i="2"/>
  <c r="F24" i="2"/>
  <c r="I23" i="2"/>
  <c r="H23" i="2"/>
  <c r="F23" i="2"/>
  <c r="I22" i="2"/>
  <c r="H22" i="2"/>
  <c r="F22" i="2"/>
  <c r="I21" i="2"/>
  <c r="H21" i="2"/>
  <c r="F21" i="2"/>
  <c r="I20" i="2"/>
  <c r="H20" i="2"/>
  <c r="F20" i="2"/>
  <c r="I19" i="2"/>
  <c r="H19" i="2"/>
  <c r="F19" i="2"/>
  <c r="I18" i="2"/>
  <c r="H18" i="2"/>
  <c r="F18" i="2"/>
  <c r="I17" i="2"/>
  <c r="H17" i="2"/>
  <c r="F17" i="2"/>
  <c r="I16" i="2"/>
  <c r="H16" i="2"/>
  <c r="F16" i="2"/>
  <c r="I15" i="2"/>
  <c r="H15" i="2"/>
  <c r="F15" i="2"/>
  <c r="I14" i="2"/>
  <c r="H14" i="2"/>
  <c r="F14" i="2"/>
  <c r="I13" i="2"/>
  <c r="H13" i="2"/>
  <c r="F13" i="2"/>
  <c r="I12" i="2"/>
  <c r="H12" i="2"/>
  <c r="F12" i="2"/>
  <c r="I11" i="2"/>
  <c r="H11" i="2"/>
  <c r="F11" i="2"/>
  <c r="I10" i="2"/>
  <c r="H10" i="2"/>
  <c r="F10" i="2"/>
  <c r="I9" i="2"/>
  <c r="H9" i="2"/>
  <c r="F9" i="2"/>
  <c r="I8" i="2"/>
  <c r="H8" i="2"/>
  <c r="F8" i="2"/>
  <c r="I7" i="2"/>
  <c r="H7" i="2"/>
  <c r="F7" i="2"/>
  <c r="I6" i="2"/>
  <c r="H6" i="2"/>
  <c r="F6" i="2"/>
  <c r="I5" i="2"/>
  <c r="H5" i="2"/>
  <c r="F5" i="2"/>
  <c r="I4" i="2"/>
  <c r="H4" i="2"/>
  <c r="F4" i="2"/>
  <c r="I3" i="2"/>
  <c r="H3" i="2"/>
  <c r="F3" i="2"/>
  <c r="I2" i="2"/>
  <c r="H2" i="2"/>
  <c r="F2" i="2"/>
  <c r="H65" i="1"/>
  <c r="H62" i="1"/>
  <c r="H66" i="1"/>
  <c r="H2" i="1"/>
  <c r="I246" i="1"/>
  <c r="H246" i="1"/>
  <c r="F246" i="1"/>
  <c r="I245" i="1"/>
  <c r="H245" i="1"/>
  <c r="F245" i="1"/>
  <c r="I244" i="1"/>
  <c r="H244" i="1"/>
  <c r="F244" i="1"/>
  <c r="I243" i="1"/>
  <c r="H243" i="1"/>
  <c r="F243" i="1"/>
  <c r="I242" i="1"/>
  <c r="H242" i="1"/>
  <c r="F242" i="1"/>
  <c r="I241" i="1"/>
  <c r="H241" i="1"/>
  <c r="F241" i="1"/>
  <c r="I240" i="1"/>
  <c r="H240" i="1"/>
  <c r="F240" i="1"/>
  <c r="I239" i="1"/>
  <c r="H239" i="1"/>
  <c r="F239" i="1"/>
  <c r="I238" i="1"/>
  <c r="H238" i="1"/>
  <c r="F238" i="1"/>
  <c r="I237" i="1"/>
  <c r="H237" i="1"/>
  <c r="F237" i="1"/>
  <c r="I236" i="1"/>
  <c r="H236" i="1"/>
  <c r="F236" i="1"/>
  <c r="I235" i="1"/>
  <c r="H235" i="1"/>
  <c r="F235" i="1"/>
  <c r="I234" i="1"/>
  <c r="H234" i="1"/>
  <c r="F234" i="1"/>
  <c r="I233" i="1"/>
  <c r="H233" i="1"/>
  <c r="F233" i="1"/>
  <c r="I232" i="1"/>
  <c r="H232" i="1"/>
  <c r="F232" i="1"/>
  <c r="I231" i="1"/>
  <c r="H231" i="1"/>
  <c r="F231" i="1"/>
  <c r="I230" i="1"/>
  <c r="H230" i="1"/>
  <c r="F230" i="1"/>
  <c r="I229" i="1"/>
  <c r="H229" i="1"/>
  <c r="F229" i="1"/>
  <c r="I228" i="1"/>
  <c r="H228" i="1"/>
  <c r="F228" i="1"/>
  <c r="I227" i="1"/>
  <c r="H227" i="1"/>
  <c r="F227" i="1"/>
  <c r="I226" i="1"/>
  <c r="H226" i="1"/>
  <c r="F226" i="1"/>
  <c r="I225" i="1"/>
  <c r="H225" i="1"/>
  <c r="F225" i="1"/>
  <c r="I224" i="1"/>
  <c r="H224" i="1"/>
  <c r="F224" i="1"/>
  <c r="I223" i="1"/>
  <c r="H223" i="1"/>
  <c r="F223" i="1"/>
  <c r="I222" i="1"/>
  <c r="H222" i="1"/>
  <c r="F222" i="1"/>
  <c r="F221" i="1"/>
  <c r="F220" i="1"/>
  <c r="F219" i="1"/>
  <c r="F218" i="1"/>
  <c r="F217" i="1"/>
  <c r="I216" i="1"/>
  <c r="H216" i="1"/>
  <c r="F216" i="1"/>
  <c r="I215" i="1"/>
  <c r="H215" i="1"/>
  <c r="F215" i="1"/>
  <c r="I214" i="1"/>
  <c r="H214" i="1"/>
  <c r="F214" i="1"/>
  <c r="I213" i="1"/>
  <c r="H213" i="1"/>
  <c r="F213" i="1"/>
  <c r="I212" i="1"/>
  <c r="H212" i="1"/>
  <c r="F212" i="1"/>
  <c r="F211" i="1"/>
  <c r="F210" i="1"/>
  <c r="F209" i="1"/>
  <c r="F208" i="1"/>
  <c r="F207" i="1"/>
  <c r="F206" i="1"/>
  <c r="F205" i="1"/>
  <c r="F204" i="1"/>
  <c r="F203" i="1"/>
  <c r="F202" i="1"/>
  <c r="I201" i="1"/>
  <c r="H201" i="1"/>
  <c r="F201" i="1"/>
  <c r="I200" i="1"/>
  <c r="H200" i="1"/>
  <c r="F200" i="1"/>
  <c r="I199" i="1"/>
  <c r="H199" i="1"/>
  <c r="F199" i="1"/>
  <c r="I198" i="1"/>
  <c r="H198" i="1"/>
  <c r="F198" i="1"/>
  <c r="I197" i="1"/>
  <c r="H197" i="1"/>
  <c r="F197" i="1"/>
  <c r="I196" i="1"/>
  <c r="H196" i="1"/>
  <c r="F196" i="1"/>
  <c r="I195" i="1"/>
  <c r="H195" i="1"/>
  <c r="F195" i="1"/>
  <c r="I194" i="1"/>
  <c r="H194" i="1"/>
  <c r="F194" i="1"/>
  <c r="I193" i="1"/>
  <c r="H193" i="1"/>
  <c r="F193" i="1"/>
  <c r="I192" i="1"/>
  <c r="H192" i="1"/>
  <c r="F192" i="1"/>
  <c r="I191" i="1"/>
  <c r="H191" i="1"/>
  <c r="F191" i="1"/>
  <c r="I190" i="1"/>
  <c r="H190" i="1"/>
  <c r="F190" i="1"/>
  <c r="I189" i="1"/>
  <c r="H189" i="1"/>
  <c r="F189" i="1"/>
  <c r="I188" i="1"/>
  <c r="H188" i="1"/>
  <c r="F188" i="1"/>
  <c r="I187" i="1"/>
  <c r="H187" i="1"/>
  <c r="F187" i="1"/>
  <c r="I186" i="1"/>
  <c r="H186" i="1"/>
  <c r="F186" i="1"/>
  <c r="I185" i="1"/>
  <c r="H185" i="1"/>
  <c r="F185" i="1"/>
  <c r="I184" i="1"/>
  <c r="H184" i="1"/>
  <c r="F184" i="1"/>
  <c r="I183" i="1"/>
  <c r="H183" i="1"/>
  <c r="F183" i="1"/>
  <c r="I182" i="1"/>
  <c r="H182" i="1"/>
  <c r="F182" i="1"/>
  <c r="I181" i="1"/>
  <c r="H181" i="1"/>
  <c r="F181" i="1"/>
  <c r="I180" i="1"/>
  <c r="H180" i="1"/>
  <c r="F180" i="1"/>
  <c r="I179" i="1"/>
  <c r="H179" i="1"/>
  <c r="F179" i="1"/>
  <c r="I178" i="1"/>
  <c r="H178" i="1"/>
  <c r="F178" i="1"/>
  <c r="I177" i="1"/>
  <c r="H177" i="1"/>
  <c r="F177" i="1"/>
  <c r="I176" i="1"/>
  <c r="H176" i="1"/>
  <c r="F176" i="1"/>
  <c r="I175" i="1"/>
  <c r="H175" i="1"/>
  <c r="F175" i="1"/>
  <c r="I174" i="1"/>
  <c r="H174" i="1"/>
  <c r="F174" i="1"/>
  <c r="I173" i="1"/>
  <c r="H173" i="1"/>
  <c r="F173" i="1"/>
  <c r="I172" i="1"/>
  <c r="H172" i="1"/>
  <c r="F172" i="1"/>
  <c r="I171" i="1"/>
  <c r="H171" i="1"/>
  <c r="F171" i="1"/>
  <c r="I170" i="1"/>
  <c r="H170" i="1"/>
  <c r="F170" i="1"/>
  <c r="I169" i="1"/>
  <c r="H169" i="1"/>
  <c r="F169" i="1"/>
  <c r="I168" i="1"/>
  <c r="H168" i="1"/>
  <c r="F168" i="1"/>
  <c r="I167" i="1"/>
  <c r="H167" i="1"/>
  <c r="F167" i="1"/>
  <c r="I166" i="1"/>
  <c r="H166" i="1"/>
  <c r="F166" i="1"/>
  <c r="I165" i="1"/>
  <c r="H165" i="1"/>
  <c r="F165" i="1"/>
  <c r="I164" i="1"/>
  <c r="H164" i="1"/>
  <c r="F164" i="1"/>
  <c r="I163" i="1"/>
  <c r="H163" i="1"/>
  <c r="F163" i="1"/>
  <c r="I162" i="1"/>
  <c r="H162" i="1"/>
  <c r="F162" i="1"/>
  <c r="I161" i="1"/>
  <c r="H161" i="1"/>
  <c r="F161" i="1"/>
  <c r="I160" i="1"/>
  <c r="H160" i="1"/>
  <c r="F160" i="1"/>
  <c r="I159" i="1"/>
  <c r="H159" i="1"/>
  <c r="F159" i="1"/>
  <c r="I158" i="1"/>
  <c r="H158" i="1"/>
  <c r="F158" i="1"/>
  <c r="I157" i="1"/>
  <c r="H157" i="1"/>
  <c r="F157" i="1"/>
  <c r="F156" i="1"/>
  <c r="F155" i="1"/>
  <c r="F154" i="1"/>
  <c r="F153" i="1"/>
  <c r="F152" i="1"/>
  <c r="I151" i="1"/>
  <c r="H151" i="1"/>
  <c r="F151" i="1"/>
  <c r="I150" i="1"/>
  <c r="H150" i="1"/>
  <c r="F150" i="1"/>
  <c r="I149" i="1"/>
  <c r="H149" i="1"/>
  <c r="F149" i="1"/>
  <c r="I148" i="1"/>
  <c r="H148" i="1"/>
  <c r="F148" i="1"/>
  <c r="I147" i="1"/>
  <c r="H147" i="1"/>
  <c r="F147" i="1"/>
  <c r="F146" i="1"/>
  <c r="F145" i="1"/>
  <c r="F144" i="1"/>
  <c r="F143" i="1"/>
  <c r="F142" i="1"/>
  <c r="I141" i="1"/>
  <c r="H141" i="1"/>
  <c r="F141" i="1"/>
  <c r="I140" i="1"/>
  <c r="H140" i="1"/>
  <c r="F140" i="1"/>
  <c r="I139" i="1"/>
  <c r="H139" i="1"/>
  <c r="F139" i="1"/>
  <c r="I138" i="1"/>
  <c r="H138" i="1"/>
  <c r="F138" i="1"/>
  <c r="I137" i="1"/>
  <c r="H137" i="1"/>
  <c r="F137" i="1"/>
  <c r="F136" i="1"/>
  <c r="F135" i="1"/>
  <c r="F134" i="1"/>
  <c r="F133" i="1"/>
  <c r="F132" i="1"/>
  <c r="F131" i="1"/>
  <c r="F130" i="1"/>
  <c r="F129" i="1"/>
  <c r="F128" i="1"/>
  <c r="F127" i="1"/>
  <c r="I126" i="1"/>
  <c r="H126" i="1"/>
  <c r="F126" i="1"/>
  <c r="I125" i="1"/>
  <c r="H125" i="1"/>
  <c r="F125" i="1"/>
  <c r="I124" i="1"/>
  <c r="H124" i="1"/>
  <c r="F124" i="1"/>
  <c r="I123" i="1"/>
  <c r="H123" i="1"/>
  <c r="F123" i="1"/>
  <c r="I122" i="1"/>
  <c r="H122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I106" i="1"/>
  <c r="H106" i="1"/>
  <c r="F106" i="1"/>
  <c r="I105" i="1"/>
  <c r="H105" i="1"/>
  <c r="F105" i="1"/>
  <c r="I104" i="1"/>
  <c r="H104" i="1"/>
  <c r="F104" i="1"/>
  <c r="I103" i="1"/>
  <c r="H103" i="1"/>
  <c r="F103" i="1"/>
  <c r="I102" i="1"/>
  <c r="H102" i="1"/>
  <c r="F102" i="1"/>
  <c r="F101" i="1"/>
  <c r="F100" i="1"/>
  <c r="F99" i="1"/>
  <c r="F98" i="1"/>
  <c r="F97" i="1"/>
  <c r="I96" i="1"/>
  <c r="H96" i="1"/>
  <c r="F96" i="1"/>
  <c r="I95" i="1"/>
  <c r="H95" i="1"/>
  <c r="F95" i="1"/>
  <c r="I94" i="1"/>
  <c r="H94" i="1"/>
  <c r="F94" i="1"/>
  <c r="I93" i="1"/>
  <c r="H93" i="1"/>
  <c r="F93" i="1"/>
  <c r="I92" i="1"/>
  <c r="H92" i="1"/>
  <c r="F92" i="1"/>
  <c r="I91" i="1"/>
  <c r="H91" i="1"/>
  <c r="F91" i="1"/>
  <c r="I90" i="1"/>
  <c r="H90" i="1"/>
  <c r="F90" i="1"/>
  <c r="I89" i="1"/>
  <c r="H89" i="1"/>
  <c r="F89" i="1"/>
  <c r="I88" i="1"/>
  <c r="H88" i="1"/>
  <c r="F88" i="1"/>
  <c r="I87" i="1"/>
  <c r="H87" i="1"/>
  <c r="F87" i="1"/>
  <c r="I86" i="1"/>
  <c r="H86" i="1"/>
  <c r="F86" i="1"/>
  <c r="I85" i="1"/>
  <c r="H85" i="1"/>
  <c r="F85" i="1"/>
  <c r="I84" i="1"/>
  <c r="H84" i="1"/>
  <c r="F84" i="1"/>
  <c r="I83" i="1"/>
  <c r="H83" i="1"/>
  <c r="F83" i="1"/>
  <c r="I82" i="1"/>
  <c r="H82" i="1"/>
  <c r="F82" i="1"/>
  <c r="I81" i="1"/>
  <c r="H81" i="1"/>
  <c r="F81" i="1"/>
  <c r="I80" i="1"/>
  <c r="H80" i="1"/>
  <c r="F80" i="1"/>
  <c r="I79" i="1"/>
  <c r="H79" i="1"/>
  <c r="F79" i="1"/>
  <c r="I78" i="1"/>
  <c r="H78" i="1"/>
  <c r="F78" i="1"/>
  <c r="I77" i="1"/>
  <c r="H77" i="1"/>
  <c r="F77" i="1"/>
  <c r="I76" i="1"/>
  <c r="H76" i="1"/>
  <c r="F76" i="1"/>
  <c r="I75" i="1"/>
  <c r="H75" i="1"/>
  <c r="F75" i="1"/>
  <c r="I74" i="1"/>
  <c r="H74" i="1"/>
  <c r="F74" i="1"/>
  <c r="I73" i="1"/>
  <c r="H73" i="1"/>
  <c r="F73" i="1"/>
  <c r="I72" i="1"/>
  <c r="H72" i="1"/>
  <c r="F72" i="1"/>
  <c r="F71" i="1"/>
  <c r="F70" i="1"/>
  <c r="F69" i="1"/>
  <c r="F68" i="1"/>
  <c r="F67" i="1"/>
  <c r="I66" i="1"/>
  <c r="F66" i="1"/>
  <c r="I65" i="1"/>
  <c r="F65" i="1"/>
  <c r="I64" i="1"/>
  <c r="H64" i="1"/>
  <c r="F64" i="1"/>
  <c r="I63" i="1"/>
  <c r="H63" i="1"/>
  <c r="F63" i="1"/>
  <c r="I62" i="1"/>
  <c r="F62" i="1"/>
  <c r="I61" i="1"/>
  <c r="H61" i="1"/>
  <c r="F61" i="1"/>
  <c r="I60" i="1"/>
  <c r="H60" i="1"/>
  <c r="F60" i="1"/>
  <c r="I59" i="1"/>
  <c r="H59" i="1"/>
  <c r="F59" i="1"/>
  <c r="I58" i="1"/>
  <c r="H58" i="1"/>
  <c r="F58" i="1"/>
  <c r="I57" i="1"/>
  <c r="H57" i="1"/>
  <c r="F57" i="1"/>
  <c r="I56" i="1"/>
  <c r="H56" i="1"/>
  <c r="F56" i="1"/>
  <c r="I55" i="1"/>
  <c r="H55" i="1"/>
  <c r="F55" i="1"/>
  <c r="I54" i="1"/>
  <c r="H54" i="1"/>
  <c r="F54" i="1"/>
  <c r="I53" i="1"/>
  <c r="H53" i="1"/>
  <c r="F53" i="1"/>
  <c r="I52" i="1"/>
  <c r="H52" i="1"/>
  <c r="F52" i="1"/>
  <c r="I51" i="1"/>
  <c r="H51" i="1"/>
  <c r="F51" i="1"/>
  <c r="I50" i="1"/>
  <c r="H50" i="1"/>
  <c r="F50" i="1"/>
  <c r="I49" i="1"/>
  <c r="H49" i="1"/>
  <c r="F49" i="1"/>
  <c r="I48" i="1"/>
  <c r="H48" i="1"/>
  <c r="F48" i="1"/>
  <c r="I47" i="1"/>
  <c r="H47" i="1"/>
  <c r="F47" i="1"/>
  <c r="I46" i="1"/>
  <c r="H46" i="1"/>
  <c r="F46" i="1"/>
  <c r="I45" i="1"/>
  <c r="H45" i="1"/>
  <c r="F45" i="1"/>
  <c r="I44" i="1"/>
  <c r="H44" i="1"/>
  <c r="F44" i="1"/>
  <c r="I43" i="1"/>
  <c r="H43" i="1"/>
  <c r="F43" i="1"/>
  <c r="I42" i="1"/>
  <c r="H42" i="1"/>
  <c r="F42" i="1"/>
  <c r="F41" i="1"/>
  <c r="F40" i="1"/>
  <c r="F39" i="1"/>
  <c r="F38" i="1"/>
  <c r="F37" i="1"/>
  <c r="F36" i="1"/>
  <c r="F35" i="1"/>
  <c r="F34" i="1"/>
  <c r="F33" i="1"/>
  <c r="F32" i="1"/>
  <c r="I31" i="1"/>
  <c r="H31" i="1"/>
  <c r="F31" i="1"/>
  <c r="I30" i="1"/>
  <c r="H30" i="1"/>
  <c r="F30" i="1"/>
  <c r="I29" i="1"/>
  <c r="H29" i="1"/>
  <c r="F29" i="1"/>
  <c r="I28" i="1"/>
  <c r="H28" i="1"/>
  <c r="F28" i="1"/>
  <c r="I27" i="1"/>
  <c r="H27" i="1"/>
  <c r="F27" i="1"/>
  <c r="I26" i="1"/>
  <c r="H26" i="1"/>
  <c r="F26" i="1"/>
  <c r="I25" i="1"/>
  <c r="H25" i="1"/>
  <c r="F25" i="1"/>
  <c r="I24" i="1"/>
  <c r="H24" i="1"/>
  <c r="F24" i="1"/>
  <c r="I23" i="1"/>
  <c r="H23" i="1"/>
  <c r="F23" i="1"/>
  <c r="I22" i="1"/>
  <c r="H22" i="1"/>
  <c r="F22" i="1"/>
  <c r="I21" i="1"/>
  <c r="H21" i="1"/>
  <c r="F21" i="1"/>
  <c r="I20" i="1"/>
  <c r="H20" i="1"/>
  <c r="F20" i="1"/>
  <c r="I19" i="1"/>
  <c r="H19" i="1"/>
  <c r="F19" i="1"/>
  <c r="I18" i="1"/>
  <c r="H18" i="1"/>
  <c r="F18" i="1"/>
  <c r="I17" i="1"/>
  <c r="H17" i="1"/>
  <c r="F17" i="1"/>
  <c r="I16" i="1"/>
  <c r="H16" i="1"/>
  <c r="F16" i="1"/>
  <c r="I15" i="1"/>
  <c r="H15" i="1"/>
  <c r="F15" i="1"/>
  <c r="I14" i="1"/>
  <c r="H14" i="1"/>
  <c r="F14" i="1"/>
  <c r="I13" i="1"/>
  <c r="H13" i="1"/>
  <c r="F13" i="1"/>
  <c r="I12" i="1"/>
  <c r="H12" i="1"/>
  <c r="F12" i="1"/>
  <c r="I11" i="1"/>
  <c r="H11" i="1"/>
  <c r="F11" i="1"/>
  <c r="I10" i="1"/>
  <c r="H10" i="1"/>
  <c r="F10" i="1"/>
  <c r="I9" i="1"/>
  <c r="H9" i="1"/>
  <c r="F9" i="1"/>
  <c r="I8" i="1"/>
  <c r="H8" i="1"/>
  <c r="F8" i="1"/>
  <c r="I7" i="1"/>
  <c r="H7" i="1"/>
  <c r="F7" i="1"/>
  <c r="I6" i="1"/>
  <c r="H6" i="1"/>
  <c r="F6" i="1"/>
  <c r="I5" i="1"/>
  <c r="H5" i="1"/>
  <c r="F5" i="1"/>
  <c r="I4" i="1"/>
  <c r="H4" i="1"/>
  <c r="F4" i="1"/>
  <c r="I3" i="1"/>
  <c r="H3" i="1"/>
  <c r="F3" i="1"/>
  <c r="I2" i="1"/>
  <c r="F2" i="1"/>
</calcChain>
</file>

<file path=xl/sharedStrings.xml><?xml version="1.0" encoding="utf-8"?>
<sst xmlns="http://schemas.openxmlformats.org/spreadsheetml/2006/main" count="393" uniqueCount="318">
  <si>
    <t>No</t>
  </si>
  <si>
    <t>Nama Perusahaan</t>
  </si>
  <si>
    <t>Tahun</t>
  </si>
  <si>
    <t>EAT</t>
  </si>
  <si>
    <t>TA</t>
  </si>
  <si>
    <t>ROA</t>
  </si>
  <si>
    <t>USD</t>
  </si>
  <si>
    <t>ADRO</t>
  </si>
  <si>
    <t>ABMM</t>
  </si>
  <si>
    <t>BUMI</t>
  </si>
  <si>
    <t>ITMG</t>
  </si>
  <si>
    <t>MYOH</t>
  </si>
  <si>
    <t>PTRO</t>
  </si>
  <si>
    <t>PTBA</t>
  </si>
  <si>
    <t>AKRA</t>
  </si>
  <si>
    <t>INDY</t>
  </si>
  <si>
    <t>PGAS</t>
  </si>
  <si>
    <t>MBSS</t>
  </si>
  <si>
    <t>MEDC</t>
  </si>
  <si>
    <t>DEWA</t>
  </si>
  <si>
    <t>ELSA</t>
  </si>
  <si>
    <t>WINS</t>
  </si>
  <si>
    <t>PSSI</t>
  </si>
  <si>
    <t>HRUM</t>
  </si>
  <si>
    <t>MBAP</t>
  </si>
  <si>
    <t>GEMS</t>
  </si>
  <si>
    <t>SMMT</t>
  </si>
  <si>
    <t>KKGI</t>
  </si>
  <si>
    <t>KOPI</t>
  </si>
  <si>
    <t>BESS</t>
  </si>
  <si>
    <t>FIRE</t>
  </si>
  <si>
    <t>ITMA</t>
  </si>
  <si>
    <t>RIGS</t>
  </si>
  <si>
    <t>TEBE</t>
  </si>
  <si>
    <t>TPMA</t>
  </si>
  <si>
    <t>PKPK</t>
  </si>
  <si>
    <t>SOCI</t>
  </si>
  <si>
    <t>TCPI</t>
  </si>
  <si>
    <t>RAJA</t>
  </si>
  <si>
    <t>SHIP</t>
  </si>
  <si>
    <t>BULL</t>
  </si>
  <si>
    <t>TOBA</t>
  </si>
  <si>
    <t>APEX</t>
  </si>
  <si>
    <t>ENRG</t>
  </si>
  <si>
    <t>HITS</t>
  </si>
  <si>
    <t>LEAD</t>
  </si>
  <si>
    <t>BIPI</t>
  </si>
  <si>
    <t>CNKO</t>
  </si>
  <si>
    <t>DWGL</t>
  </si>
  <si>
    <t>DOID</t>
  </si>
  <si>
    <t>ARTI</t>
  </si>
  <si>
    <t>DSSA</t>
  </si>
  <si>
    <t>TAMU</t>
  </si>
  <si>
    <t>BSSR</t>
  </si>
  <si>
    <t>BYAN</t>
  </si>
  <si>
    <t>BBRM</t>
  </si>
  <si>
    <t>No.</t>
  </si>
  <si>
    <t>Total Hutang</t>
  </si>
  <si>
    <t>Total Ekuitas</t>
  </si>
  <si>
    <t>DER</t>
  </si>
  <si>
    <r>
      <t xml:space="preserve">Indikator </t>
    </r>
    <r>
      <rPr>
        <b/>
        <i/>
        <sz val="11"/>
        <color theme="1"/>
        <rFont val="Calibri"/>
        <family val="2"/>
        <scheme val="minor"/>
      </rPr>
      <t>Global Reporting Invitiatives</t>
    </r>
    <r>
      <rPr>
        <b/>
        <sz val="11"/>
        <color theme="1"/>
        <rFont val="Calibri"/>
        <family val="2"/>
        <scheme val="minor"/>
      </rPr>
      <t xml:space="preserve"> (GRI) 4.0</t>
    </r>
  </si>
  <si>
    <t>Kode</t>
  </si>
  <si>
    <t>Indikator</t>
  </si>
  <si>
    <t>1. ABMM</t>
  </si>
  <si>
    <t>2. ADRO</t>
  </si>
  <si>
    <t>3.AKRA</t>
  </si>
  <si>
    <t>4. BUMI</t>
  </si>
  <si>
    <t>5. DSSA</t>
  </si>
  <si>
    <t>6. ITMG</t>
  </si>
  <si>
    <t>7. PTRO</t>
  </si>
  <si>
    <t>8.PTBA</t>
  </si>
  <si>
    <t>9. INDY</t>
  </si>
  <si>
    <t>10. PGAS</t>
  </si>
  <si>
    <t>11. MBSS</t>
  </si>
  <si>
    <t>12. MEDC</t>
  </si>
  <si>
    <t>13. ELSA</t>
  </si>
  <si>
    <t>14. DEWA</t>
  </si>
  <si>
    <t>15. TAMU</t>
  </si>
  <si>
    <t>16. WINS</t>
  </si>
  <si>
    <t>17. PSSI</t>
  </si>
  <si>
    <t>18. MYOH</t>
  </si>
  <si>
    <t xml:space="preserve">Kategori Ekonomi </t>
  </si>
  <si>
    <t>Aspek Kinerja Ekonomi</t>
  </si>
  <si>
    <t>EC1</t>
  </si>
  <si>
    <t>Nilai ekonomi langsung yang dihasilkan dan didistribusikan</t>
  </si>
  <si>
    <t>EC2</t>
  </si>
  <si>
    <t>Implikasi finansial serta risiko dan peluang lain akibat dari perubahan iklim</t>
  </si>
  <si>
    <t>EC3</t>
  </si>
  <si>
    <t>Kewajiban program pensiun manfaat pasti dan program pensiun lainnya</t>
  </si>
  <si>
    <t>EC4</t>
  </si>
  <si>
    <t>Bantuan finansial yang diterima dari pemerintah</t>
  </si>
  <si>
    <t>Aspek Keberadaan di Pasar</t>
  </si>
  <si>
    <t>EC5</t>
  </si>
  <si>
    <t>Rasio standar upah karyawan pemula berdasarkan jenis kelamin terhadap upah minimum regional</t>
  </si>
  <si>
    <t>EC6</t>
  </si>
  <si>
    <t>Proporsi manajemen senior yang berasal dari masyarakat setempat</t>
  </si>
  <si>
    <t>Aspek Dampak Ekonomi Tidak Langsung</t>
  </si>
  <si>
    <t>EC7</t>
  </si>
  <si>
    <t>Investasi infrastruktur dan dukungan layanan</t>
  </si>
  <si>
    <t>EC8</t>
  </si>
  <si>
    <t xml:space="preserve">Dampak ekonomi tidak langsung yang signifikan </t>
  </si>
  <si>
    <t>Aspek Praktik Pengadaan</t>
  </si>
  <si>
    <t>EC9</t>
  </si>
  <si>
    <t>Proporsi pengeluaran untuk pemasok lokal</t>
  </si>
  <si>
    <t>Kategori Lingkungan</t>
  </si>
  <si>
    <t>Apek Material</t>
  </si>
  <si>
    <t>EN1</t>
  </si>
  <si>
    <t>Material yang digunakan berdasarkan berat atau volume</t>
  </si>
  <si>
    <t>EN2</t>
  </si>
  <si>
    <t>Persentase bahan yang digunakan merupakan bahan input atau daur ulang</t>
  </si>
  <si>
    <t>Aspek Energi</t>
  </si>
  <si>
    <t>EN3</t>
  </si>
  <si>
    <t>Konsumsi energi dalam organisasi</t>
  </si>
  <si>
    <t>EN4</t>
  </si>
  <si>
    <t>konsumsi energi di luar organisasi</t>
  </si>
  <si>
    <t>EN5</t>
  </si>
  <si>
    <t>Intensitas energi</t>
  </si>
  <si>
    <t>EN6</t>
  </si>
  <si>
    <t>Pengurangan konsumsi energi</t>
  </si>
  <si>
    <t>EN7</t>
  </si>
  <si>
    <t>Pengurangan pada energi yang dibutuhkan untuk produk dan jasa</t>
  </si>
  <si>
    <t>Aspek Air</t>
  </si>
  <si>
    <t xml:space="preserve"> </t>
  </si>
  <si>
    <t>EN8</t>
  </si>
  <si>
    <t>Total pengambilan air berdasarkan sumber</t>
  </si>
  <si>
    <t>EN9</t>
  </si>
  <si>
    <t>Sumber air yang secara signifikan dipengaruhi oleh pengambilan air</t>
  </si>
  <si>
    <t>EN10</t>
  </si>
  <si>
    <t>Persentase dan total volume air yang didaur ulang dan digunakan kembali</t>
  </si>
  <si>
    <t>Aspek Keanekaragaman Hayati</t>
  </si>
  <si>
    <t>EN11</t>
  </si>
  <si>
    <t>Lokasi-lokasi operasional yang dimiliki, disewa, dikelola didalam atau yang berdekatan dengan, kawasan lindung dan kawasan dengan nilai keanekaragaman hayati tinggi di luar kawasan lindung</t>
  </si>
  <si>
    <t>EN12</t>
  </si>
  <si>
    <t>Uraian dampak signifikan kegiatan, produk, dan jasa terhadap keanekaragaman hayati di kawasan lindung dan kawasan dengan nilai keanekaragaman hayati tinggi di luar kawasan lindung</t>
  </si>
  <si>
    <t>EN13</t>
  </si>
  <si>
    <t>Habitat yang dilindungi dan dipulihkan</t>
  </si>
  <si>
    <t>EN14</t>
  </si>
  <si>
    <t>Jumlah total spesies dalam iucn red list dan species dalam daftar spesies yang dilindungi nasional dengan a</t>
  </si>
  <si>
    <t>Aspek Emisi</t>
  </si>
  <si>
    <t>EN15</t>
  </si>
  <si>
    <t>Emisi gas rumah kaca (GRK) langsung (cakupan 1)</t>
  </si>
  <si>
    <t>EN16</t>
  </si>
  <si>
    <t>Emisi gas rumah kaca (GRK) energi tidak langsung (cakupan 2)</t>
  </si>
  <si>
    <t>EN17</t>
  </si>
  <si>
    <t>Emisi gas rumah kaca (GRK) tidak langsung lainnya (cakupan 3)</t>
  </si>
  <si>
    <t>EN18</t>
  </si>
  <si>
    <t>Intensitas emisi gas rumah kaca (GRK)</t>
  </si>
  <si>
    <t>EN19</t>
  </si>
  <si>
    <t>Pengurangan emisi gas rumah kaca (GRK)</t>
  </si>
  <si>
    <t>EN20</t>
  </si>
  <si>
    <t>Emisis bagan perusak ozon (BPO)</t>
  </si>
  <si>
    <t>EN21</t>
  </si>
  <si>
    <t>Nitrogen oksida (NOx), Belerang oksida (Sox), dan emisi udara signifikan lainnya</t>
  </si>
  <si>
    <t>Aspek Efluen dan Limbah</t>
  </si>
  <si>
    <t>EN22</t>
  </si>
  <si>
    <t>Pelepasan air berdasarkan mutu dan tujuan</t>
  </si>
  <si>
    <t>EN23</t>
  </si>
  <si>
    <t>Limbah berdasarkan jenis dan metode pembuangan</t>
  </si>
  <si>
    <t>EN24</t>
  </si>
  <si>
    <t>Tumpahan yang signifikan</t>
  </si>
  <si>
    <t>EN25</t>
  </si>
  <si>
    <t>Pengakuan limbah berbahaya</t>
  </si>
  <si>
    <t>EN26</t>
  </si>
  <si>
    <t>Badan air yang dipengaruhi oleh pelepasan dan/atau limpahan air</t>
  </si>
  <si>
    <t>Aspek Produk dan Jasa</t>
  </si>
  <si>
    <t>EN27</t>
  </si>
  <si>
    <t>Tingkat mitigasi dampak terhadap lingkungan produk dan jasa</t>
  </si>
  <si>
    <t>EN28</t>
  </si>
  <si>
    <t>Persentase produk yang terjual dan kemasannya yang reklamasi menurut kategori</t>
  </si>
  <si>
    <t>Aspek Kepatuhan</t>
  </si>
  <si>
    <t>EN29</t>
  </si>
  <si>
    <t>Nilai moneter denda signifikan dan jumlah total sanksi non-moneter atas ketidakpastian terhadap UU dan peraturan lingkungan</t>
  </si>
  <si>
    <t>Aspek Transportasi</t>
  </si>
  <si>
    <t>EN30</t>
  </si>
  <si>
    <t>Dampak lingkungan signifikan dari pengangkutan produk dan barang lain serta bahan untuk operasional organisasi dan pengangkutan tenaga kerja</t>
  </si>
  <si>
    <t>Aspek Lain-Lain</t>
  </si>
  <si>
    <t>EN31</t>
  </si>
  <si>
    <t>Total pengeluaran dan investasi perlindungan lingkungan berdasarkan jenis</t>
  </si>
  <si>
    <t>Aspek Asesmen Pemasok Atas Lingkungan</t>
  </si>
  <si>
    <t>EN32</t>
  </si>
  <si>
    <t>Seleksi pemasok baru dengan menggunakan kriteria lingkungan</t>
  </si>
  <si>
    <t>EN33</t>
  </si>
  <si>
    <t>Dampak lingkungan negatif dalam rantai pasokan dan tindakan yang telah diambil</t>
  </si>
  <si>
    <t>EN34</t>
  </si>
  <si>
    <t>Jumlah pengaduan tentang dampak lingkungan yang diajukan, ditangani dan diselesaikan melalui mekanisme pengaduan resmi</t>
  </si>
  <si>
    <t>Kategori Sosial</t>
  </si>
  <si>
    <t>Aspek Kepegawaian</t>
  </si>
  <si>
    <t>LA1</t>
  </si>
  <si>
    <t>Perekrutan karyawan baru dan pergantian karyawan</t>
  </si>
  <si>
    <t>LA2</t>
  </si>
  <si>
    <t>Tunjangan yang diberikan kepada karyawan purnawaktu yang tidak diberikan kepada karyawan pada kurun waktu tertentu atau paruh waktu</t>
  </si>
  <si>
    <t>LA3</t>
  </si>
  <si>
    <t>Tingkat kembali bekerja dan tingkat retensi setelah cuti melahirkan, menurut Gender</t>
  </si>
  <si>
    <t>Aspek Hubungan Industrial</t>
  </si>
  <si>
    <t>LA4</t>
  </si>
  <si>
    <t>Jangka waktu minimum pemberitahuan mengenai perubahan operasional, termasuk apakah hal tersebut tercantum dalam perjanjian bersama</t>
  </si>
  <si>
    <t>Aspek Kesahatan dan keselamatan Kerja</t>
  </si>
  <si>
    <t>LA5</t>
  </si>
  <si>
    <t>Persentase total tenaga kerja yang diwakili dalam komite bersama formal manajemen pekerja yang membantu mengawasi dan memberikan saran program kesehatan dan keselamatan kerja</t>
  </si>
  <si>
    <t>LA6</t>
  </si>
  <si>
    <t>Jenis dan tingkat cedera, penyakit akibat kerja, hari hilang, dan kemangkiran, serta jumlah total kematian akibat kerja, menurut daerah dan gender</t>
  </si>
  <si>
    <t>LA7</t>
  </si>
  <si>
    <t>Pekerja yang sering terkena atau berisiko tinggi terkena penyakit yang terkait dengan pekerjaan mereka</t>
  </si>
  <si>
    <t>LA8</t>
  </si>
  <si>
    <t>Topik kesehatan dan keselamatan yang tercakup dalam perjanjian formal dengan serikat pekerja</t>
  </si>
  <si>
    <t>Apek Pelatihan dan Pendidikan</t>
  </si>
  <si>
    <t>LA9</t>
  </si>
  <si>
    <t>Jam pelatihan rata-rata per tahun per karyawan menurut gender, dan menurut kategori karyawan</t>
  </si>
  <si>
    <t>LA10</t>
  </si>
  <si>
    <t>Program untuk manajemen keterampilan dan pembelajaran seumur hidup yang mendukung keberlanjutan kerja karyawan dan membantu mereka mengelola purna bakti</t>
  </si>
  <si>
    <t>LA11</t>
  </si>
  <si>
    <t>Persentase karyawan yang menerima tinjauan rutin terhadap kinerja dan pengembangan karir</t>
  </si>
  <si>
    <t>Aspek Keberagaman dan Kesetaraan Peluang</t>
  </si>
  <si>
    <t>LA12</t>
  </si>
  <si>
    <t>Komposisi badan tata kelola dan pembagian karyawan per kategori karyawan menurut gender, kelompok usia, keanggotaan kelompok minoritas, dan indikator keberagaman lainnya</t>
  </si>
  <si>
    <t>Aspek Kesetaraan Remunerasi Perempuan dan Laki-Laki</t>
  </si>
  <si>
    <t>LA13</t>
  </si>
  <si>
    <t>Rasio gaji pokok dan remunerasi bagi perempuan terhadap laki-laki menurut kategori karyawan, berdasarkan lokasi operasional yang signifikan</t>
  </si>
  <si>
    <t>Aspek Asesmen Pemasok Atas Praktik Ketenagakerjaan</t>
  </si>
  <si>
    <t>LA14</t>
  </si>
  <si>
    <t>Persentase penapisan pemasok baru menggunakan kriteria praktik ketenagakerjaan</t>
  </si>
  <si>
    <t>LA15</t>
  </si>
  <si>
    <t>Dampak negatif aktual dan potensial yang signifikan terhadap praktik ketenagakerjaan dalam rantai pasokan dan tindakan yang diambil</t>
  </si>
  <si>
    <t>Aspek Mekanisme Pengaduan Masalah Ketenagakerjaan</t>
  </si>
  <si>
    <t>LA16</t>
  </si>
  <si>
    <t>Jumlah pengaduan tentang praktik ketenagakerjaan yang diajukan, ditangani, dan diselesaikan melalui mekanisme pengaduan resmi</t>
  </si>
  <si>
    <t>Kategori Hak Asasi Manusia</t>
  </si>
  <si>
    <t>Aspek Investasi</t>
  </si>
  <si>
    <t>HR1</t>
  </si>
  <si>
    <t>Jumlah total dan presentase perjanjian dan kontak investasi yang signifikan uang menyertakan klausul terkait hak asasi manusia atau penapisan berdasarkan hak asai manusia</t>
  </si>
  <si>
    <t>HR2</t>
  </si>
  <si>
    <t>Jumlah waktu pelatihan karyawan tentang kebijakan atau prosedur hak asasi manusia terkait dengan aspek hak asasi manusia yang relevan dengan operasi, termasuk persentase karyawan yang dilatih</t>
  </si>
  <si>
    <t>Aspek Non- Diskriminasi</t>
  </si>
  <si>
    <t>HR3</t>
  </si>
  <si>
    <t>Jumlah total insiden diskriminasi dan tindakan perbaikan yang diambil</t>
  </si>
  <si>
    <t>Aspek Kebebasan Berserikat dan Perjanjian Kerja Bersama</t>
  </si>
  <si>
    <t>HR4</t>
  </si>
  <si>
    <t>Operasi dan pemasok teridentifikasi yang mungkin melanggar atau berisiko tinggi melanggar hak untuk melaksanaka bersama, dan tindakan yang diambil untuk mendukung hak-hak tersebut kebebasan berserikat dan perjanjian kerja</t>
  </si>
  <si>
    <t>Aspek Pekerja Anak</t>
  </si>
  <si>
    <t>HR5</t>
  </si>
  <si>
    <t>Operasi dan pemasok yang diidentifikasi berisiko tinggi melakukan eksploitasi pekerja anak dan tindakan yang diambil untuk berkontribusi dalam penghapusan pekerja anak yang efektif</t>
  </si>
  <si>
    <t>Aspek Pekerja Paksa atau Wajib Kerja</t>
  </si>
  <si>
    <t>HR6</t>
  </si>
  <si>
    <t>Operasi dan pemasok yang diidentifikasi berisiko tinggi melakukan pekerja paksa atau wajib kerja dan tindakan untuk berkontribusi dalam penghapusan segala bentuk pekerja paksa atau wajib kerja</t>
  </si>
  <si>
    <t>Aspek Praktik Pengamanan</t>
  </si>
  <si>
    <t>HR7</t>
  </si>
  <si>
    <t>Persentase petugas pengamanan yang dilatih dalam kebijakan atau prosedur hak asasi manusia di organisasi yang relevan dengan operasi</t>
  </si>
  <si>
    <t>Aspek Hak Adat</t>
  </si>
  <si>
    <t>HR8</t>
  </si>
  <si>
    <t>Jumlah total insiden pelanggaran yang melibatkan hak-hak masyarakat adat dan tindakan yang diambil</t>
  </si>
  <si>
    <t>Aspek Asesmen</t>
  </si>
  <si>
    <t>HR9</t>
  </si>
  <si>
    <t>Jumlah total dan persentase operasi yang telah melakukan review atau asesmen dampak hak asasi manusia</t>
  </si>
  <si>
    <t>HR10</t>
  </si>
  <si>
    <t>Persentase penapisan pemasok baru menggunakan kriteria hak asasi manusia</t>
  </si>
  <si>
    <t>HR11</t>
  </si>
  <si>
    <t>Dampak negatif aktual dan potensial yang signifikan terhadap hak asasi manusia dalam rantai pasokan dan tindakan yang diambil</t>
  </si>
  <si>
    <t>Aspek Mekanisme Pengaduan Masalah Hak Asasi Manusia</t>
  </si>
  <si>
    <t>HR12</t>
  </si>
  <si>
    <t>Jumlah pengaduan tentang dampak terhadap hak asasi manusia yang diajukan, ditangani, dan diselesaikan melalui mekanisme pengaduan formal</t>
  </si>
  <si>
    <t>Kategori Masyarakat</t>
  </si>
  <si>
    <t>Aspek Masyarakat Lokal</t>
  </si>
  <si>
    <t>SO1</t>
  </si>
  <si>
    <t>Persentase operasi dengan pelibatan masyarakat lokal, asesmen dampak, dan program pengembangan yang diterapkan</t>
  </si>
  <si>
    <t>SO2</t>
  </si>
  <si>
    <t>Operasi dengan dampak negatif aktual dan potensial yang signifikan terhadap masyarakat lokal</t>
  </si>
  <si>
    <t>Aspek Anti-Korupsi</t>
  </si>
  <si>
    <t>SO3</t>
  </si>
  <si>
    <t>Jumlah total dan persentase operasi yang dinilai terhadap risiko terkait dengan korupsi dan risiko signifikan yang teridentifikasi</t>
  </si>
  <si>
    <t>SO4</t>
  </si>
  <si>
    <t>Komunikasi dan pelatihan mengenai kebijakan dan prosedur anti-korupsi</t>
  </si>
  <si>
    <t>SO5</t>
  </si>
  <si>
    <t>Insiden korupsi yang terbukti dan tindakan yang diambil</t>
  </si>
  <si>
    <t>Aspek Kebijakan Publik</t>
  </si>
  <si>
    <t>SO6</t>
  </si>
  <si>
    <t>Nilai total kontribusi politik berdasarkan negara dan penerima/penerima manfaat</t>
  </si>
  <si>
    <t>Aspek Anti Persaingan</t>
  </si>
  <si>
    <t>SO7</t>
  </si>
  <si>
    <t>Jumlah total tindakan hukum terkait anti persaingan anti-trust, serta praktik monopoli dan hasilnya</t>
  </si>
  <si>
    <t>SO8</t>
  </si>
  <si>
    <t>Nilai moneter denda yang signifikan dan jumlah total sanksi non-moneter atas ketidakpatuhan terhadap undang-undang dan peraturan</t>
  </si>
  <si>
    <t>Aspek Asesmen Pemasok atas Dampak pada Masyarakat</t>
  </si>
  <si>
    <t>SO9</t>
  </si>
  <si>
    <t>Persentase penapisan pemasok baru menggunakan kriteria dampak terhadap masyarakat</t>
  </si>
  <si>
    <t>SO10</t>
  </si>
  <si>
    <t>Dampak negatif aktual dan potensial yang signifikan terhadap masyarakat dalam rantai pasokan dan tindakan yang diambil</t>
  </si>
  <si>
    <t>Aspek Mekanisme Pengaduan Dampak terhadap Masyarakat</t>
  </si>
  <si>
    <t>SO11</t>
  </si>
  <si>
    <t>Jumlah pengaduan tentang dampak terhadap masyarakat yang diajukan, ditangani, dan diselesaikan melalui mekanisme pengaduan resmi</t>
  </si>
  <si>
    <t>Kategori Tanggung Jawab Atas Produk</t>
  </si>
  <si>
    <t>Aspek Kesehatan dan Keselamatan Pelanggan</t>
  </si>
  <si>
    <t>PR1</t>
  </si>
  <si>
    <t>Persentase kategori produk dan jasa yang signifikan yang dampaknya terhadap kesehatan dan keselamatan yang dinilai untuk peningkatan</t>
  </si>
  <si>
    <t>PR2</t>
  </si>
  <si>
    <t>Total jumlah insiden ketidakpatuhan terhadap peraturan dan koda sukarela terkait dampak kesehatan dan keselamatan dari produk dan jasa sepanjang daur hidup, menurut jenis hasil</t>
  </si>
  <si>
    <t>Aspek Pelabelan Produk dan Jasa</t>
  </si>
  <si>
    <t>PR3</t>
  </si>
  <si>
    <t>Jenis informasi produk dan jasa yang diharuskan oleh prosedur organisasi terkait dengan informasi dan pelabelan produk dan jasa, serta persentase kategori produkmdan jasa yang signifikan harus mengikuti persyaratan informasi sejenis</t>
  </si>
  <si>
    <t>PR4</t>
  </si>
  <si>
    <t>Jumlah total insiden ketidakpatuhan terhadap peraturan dan koda sukarela terkait dengan informasi dan pelabelan produk dan jasa, menurut jenis hasil</t>
  </si>
  <si>
    <t>PR5</t>
  </si>
  <si>
    <t>Hasil survei untuk mengukur kepuasan pelanggan</t>
  </si>
  <si>
    <t>Aspek Komunikasi Pemasaran</t>
  </si>
  <si>
    <t>PR6</t>
  </si>
  <si>
    <t>Penjualan produk yang dilarang atau disengketakan</t>
  </si>
  <si>
    <t>Aspek Privasi Pelanggan</t>
  </si>
  <si>
    <t>PR7</t>
  </si>
  <si>
    <t>Jumlah total insiden ketidakpatuhan terhadap peraturan dan koda sukarela tentang komunikasi pemasaran, termasuk iklan, promosi, dan sponsor, menurut jenis hasil</t>
  </si>
  <si>
    <t>PR8</t>
  </si>
  <si>
    <t>Jumlah total keluhan yang terbukti terkait dengan pelanggaran privasi pelanggan dan hilangnya data pelanggan</t>
  </si>
  <si>
    <t>PR9</t>
  </si>
  <si>
    <t>Nilai moneter denda yang signifikan atas ketidakpatuhan terhadap undang-undang dan peraturan terkait penyediaan dan penggunaan produk dan jasa</t>
  </si>
  <si>
    <t>Kode Perusahaan</t>
  </si>
  <si>
    <t>X1</t>
  </si>
  <si>
    <t>X2</t>
  </si>
  <si>
    <t>X3</t>
  </si>
  <si>
    <t>Y</t>
  </si>
  <si>
    <t xml:space="preserve">BUMI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</si>
</sst>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0000000E+00"/>
    <numFmt numFmtId="166" formatCode="0.00000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0" xfId="1" applyNumberFormat="1" applyFont="1" applyFill="1"/>
    <xf numFmtId="164" fontId="0" fillId="0" borderId="0" xfId="0" applyNumberFormat="1"/>
    <xf numFmtId="164" fontId="0" fillId="0" borderId="1" xfId="1" applyNumberFormat="1" applyFont="1" applyFill="1" applyBorder="1"/>
    <xf numFmtId="0" fontId="0" fillId="0" borderId="1" xfId="0" applyBorder="1"/>
    <xf numFmtId="164" fontId="0" fillId="0" borderId="2" xfId="1" applyNumberFormat="1" applyFont="1" applyFill="1" applyBorder="1"/>
    <xf numFmtId="165" fontId="0" fillId="0" borderId="1" xfId="0" applyNumberForma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2" fillId="0" borderId="1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 vertical="center"/>
    </xf>
    <xf numFmtId="0" fontId="3" fillId="0" borderId="0" xfId="0" applyFont="1"/>
    <xf numFmtId="164" fontId="0" fillId="0" borderId="0" xfId="1" applyNumberFormat="1" applyFont="1" applyFill="1" applyBorder="1"/>
    <xf numFmtId="0" fontId="0" fillId="0" borderId="1" xfId="0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quotePrefix="1"/>
    <xf numFmtId="0" fontId="4" fillId="0" borderId="0" xfId="0" applyFont="1" applyAlignment="1">
      <alignment horizontal="left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/>
    </xf>
    <xf numFmtId="0" fontId="0" fillId="2" borderId="1" xfId="0" applyFill="1" applyBorder="1"/>
    <xf numFmtId="0" fontId="0" fillId="3" borderId="1" xfId="0" applyFill="1" applyBorder="1"/>
    <xf numFmtId="0" fontId="6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6" fontId="7" fillId="0" borderId="1" xfId="0" quotePrefix="1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981F6-A1D8-440E-B95D-BA1388425330}">
  <dimension ref="A1:I246"/>
  <sheetViews>
    <sheetView workbookViewId="0">
      <selection activeCell="C9" sqref="C9"/>
    </sheetView>
  </sheetViews>
  <sheetFormatPr defaultRowHeight="14.5" x14ac:dyDescent="0.35"/>
  <cols>
    <col min="1" max="1" width="4.7265625" customWidth="1"/>
    <col min="2" max="2" width="19.1796875" customWidth="1"/>
    <col min="3" max="3" width="8.81640625" bestFit="1" customWidth="1"/>
    <col min="4" max="4" width="18.54296875" bestFit="1" customWidth="1"/>
    <col min="5" max="5" width="19.54296875" bestFit="1" customWidth="1"/>
    <col min="6" max="6" width="14" bestFit="1" customWidth="1"/>
    <col min="7" max="7" width="8.81640625" bestFit="1" customWidth="1"/>
    <col min="8" max="8" width="18.54296875" bestFit="1" customWidth="1"/>
    <col min="9" max="9" width="19.54296875" bestFit="1" customWidth="1"/>
  </cols>
  <sheetData>
    <row r="1" spans="1:9" s="1" customFormat="1" ht="23.5" customHeight="1" x14ac:dyDescent="0.3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" t="s">
        <v>6</v>
      </c>
    </row>
    <row r="2" spans="1:9" x14ac:dyDescent="0.35">
      <c r="A2" s="15">
        <v>1</v>
      </c>
      <c r="B2" s="15" t="s">
        <v>7</v>
      </c>
      <c r="C2" s="2">
        <v>2019</v>
      </c>
      <c r="D2" s="5">
        <v>6046962802</v>
      </c>
      <c r="E2" s="5">
        <v>100324976605</v>
      </c>
      <c r="F2" s="6">
        <f>D2/E2</f>
        <v>6.0273752425660979E-2</v>
      </c>
      <c r="G2" s="3">
        <v>13901</v>
      </c>
      <c r="H2" s="4">
        <f>G2*435002</f>
        <v>6046962802</v>
      </c>
      <c r="I2" s="4">
        <f>G2*7217105</f>
        <v>100324976605</v>
      </c>
    </row>
    <row r="3" spans="1:9" x14ac:dyDescent="0.35">
      <c r="A3" s="15"/>
      <c r="B3" s="15"/>
      <c r="C3" s="2">
        <v>2020</v>
      </c>
      <c r="D3" s="5">
        <v>2235713025</v>
      </c>
      <c r="E3" s="5">
        <v>90011988430</v>
      </c>
      <c r="F3" s="6">
        <f t="shared" ref="F3:F66" si="0">D3/E3</f>
        <v>2.483794730008277E-2</v>
      </c>
      <c r="G3" s="3">
        <v>14105</v>
      </c>
      <c r="H3" s="4">
        <f>G3*158505</f>
        <v>2235713025</v>
      </c>
      <c r="I3" s="4">
        <f>G3*6381566</f>
        <v>90011988430</v>
      </c>
    </row>
    <row r="4" spans="1:9" x14ac:dyDescent="0.35">
      <c r="A4" s="15"/>
      <c r="B4" s="15"/>
      <c r="C4" s="2">
        <v>2021</v>
      </c>
      <c r="D4" s="5">
        <v>11767993517</v>
      </c>
      <c r="E4" s="5">
        <v>108257988430</v>
      </c>
      <c r="F4" s="6">
        <f t="shared" si="0"/>
        <v>0.10870323463112587</v>
      </c>
      <c r="G4" s="3">
        <v>14269</v>
      </c>
      <c r="H4" s="4">
        <f>G4*1028593</f>
        <v>14676993517</v>
      </c>
      <c r="I4" s="4">
        <f>G4*7586936</f>
        <v>108257989784</v>
      </c>
    </row>
    <row r="5" spans="1:9" x14ac:dyDescent="0.35">
      <c r="A5" s="15"/>
      <c r="B5" s="15"/>
      <c r="C5" s="2">
        <v>2022</v>
      </c>
      <c r="D5" s="5">
        <v>44536395913</v>
      </c>
      <c r="E5" s="5">
        <v>169616471417</v>
      </c>
      <c r="F5" s="6">
        <f t="shared" si="0"/>
        <v>0.26257117331198232</v>
      </c>
      <c r="G5" s="3">
        <v>15731</v>
      </c>
      <c r="H5" s="4">
        <f>G5*2831123</f>
        <v>44536395913</v>
      </c>
      <c r="I5" s="4">
        <f>G5*10782307</f>
        <v>169616471417</v>
      </c>
    </row>
    <row r="6" spans="1:9" x14ac:dyDescent="0.35">
      <c r="A6" s="15"/>
      <c r="B6" s="15"/>
      <c r="C6" s="2">
        <v>2023</v>
      </c>
      <c r="D6" s="5">
        <v>28594799248</v>
      </c>
      <c r="E6" s="5">
        <v>161447312776</v>
      </c>
      <c r="F6" s="6">
        <f t="shared" si="0"/>
        <v>0.17711536201084896</v>
      </c>
      <c r="G6" s="3">
        <v>15416</v>
      </c>
      <c r="H6" s="4">
        <f>G6*1854878</f>
        <v>28594799248</v>
      </c>
      <c r="I6" s="4">
        <f>G6*10472711</f>
        <v>161447312776</v>
      </c>
    </row>
    <row r="7" spans="1:9" x14ac:dyDescent="0.35">
      <c r="A7" s="15">
        <v>2</v>
      </c>
      <c r="B7" s="15" t="s">
        <v>8</v>
      </c>
      <c r="C7" s="2">
        <v>2019</v>
      </c>
      <c r="D7" s="5">
        <v>54129993564</v>
      </c>
      <c r="E7" s="5">
        <v>11874634062265</v>
      </c>
      <c r="F7" s="6">
        <f t="shared" si="0"/>
        <v>4.5584557199967388E-3</v>
      </c>
      <c r="G7" s="3">
        <v>13901</v>
      </c>
      <c r="H7" s="4">
        <f>G7*3893964</f>
        <v>54129993564</v>
      </c>
      <c r="I7" s="4">
        <f>G7*854228765</f>
        <v>11874634062265</v>
      </c>
    </row>
    <row r="8" spans="1:9" x14ac:dyDescent="0.35">
      <c r="A8" s="15"/>
      <c r="B8" s="15"/>
      <c r="C8" s="2">
        <v>2020</v>
      </c>
      <c r="D8" s="5">
        <v>-532323602720</v>
      </c>
      <c r="E8" s="5">
        <v>11668180409795</v>
      </c>
      <c r="F8" s="6">
        <f t="shared" si="0"/>
        <v>-4.5621817971989387E-2</v>
      </c>
      <c r="G8" s="3">
        <v>14105</v>
      </c>
      <c r="H8" s="4">
        <f>G8*-37740064</f>
        <v>-532323602720</v>
      </c>
      <c r="I8" s="4">
        <f>G8*827237179</f>
        <v>11668180409795</v>
      </c>
    </row>
    <row r="9" spans="1:9" x14ac:dyDescent="0.35">
      <c r="A9" s="15"/>
      <c r="B9" s="15"/>
      <c r="C9" s="2">
        <v>2021</v>
      </c>
      <c r="D9" s="5">
        <v>2656658111907</v>
      </c>
      <c r="E9" s="5">
        <v>14792731644771</v>
      </c>
      <c r="F9" s="6">
        <f t="shared" si="0"/>
        <v>0.17959212508570635</v>
      </c>
      <c r="G9" s="3">
        <v>14269</v>
      </c>
      <c r="H9" s="4">
        <f>G9*186183903</f>
        <v>2656658111907</v>
      </c>
      <c r="I9" s="4">
        <f>G9*1036704159</f>
        <v>14792731644771</v>
      </c>
    </row>
    <row r="10" spans="1:9" x14ac:dyDescent="0.35">
      <c r="A10" s="15"/>
      <c r="B10" s="15"/>
      <c r="C10" s="2">
        <v>2022</v>
      </c>
      <c r="D10" s="5">
        <v>5378484068617</v>
      </c>
      <c r="E10" s="5">
        <v>31187943390284</v>
      </c>
      <c r="F10" s="6">
        <f t="shared" si="0"/>
        <v>0.1724539512372131</v>
      </c>
      <c r="G10" s="3">
        <v>15731</v>
      </c>
      <c r="H10" s="4">
        <f>G10*341903507</f>
        <v>5378484068617</v>
      </c>
      <c r="I10" s="4">
        <f>G10*1982578564</f>
        <v>31187943390284</v>
      </c>
    </row>
    <row r="11" spans="1:9" x14ac:dyDescent="0.35">
      <c r="A11" s="15"/>
      <c r="B11" s="15"/>
      <c r="C11" s="2">
        <v>2023</v>
      </c>
      <c r="D11" s="5">
        <v>5420633934488</v>
      </c>
      <c r="E11" s="5">
        <v>33247500589320</v>
      </c>
      <c r="F11" s="6">
        <f t="shared" si="0"/>
        <v>0.16303884016560496</v>
      </c>
      <c r="G11" s="3">
        <v>15416</v>
      </c>
      <c r="H11" s="4">
        <f>G11*351623893</f>
        <v>5420633934488</v>
      </c>
      <c r="I11" s="4">
        <f>G11*2156687895</f>
        <v>33247500589320</v>
      </c>
    </row>
    <row r="12" spans="1:9" x14ac:dyDescent="0.35">
      <c r="A12" s="15">
        <v>3</v>
      </c>
      <c r="B12" s="15" t="s">
        <v>9</v>
      </c>
      <c r="C12" s="2">
        <v>2019</v>
      </c>
      <c r="D12" s="5">
        <v>131649170282</v>
      </c>
      <c r="E12" s="5">
        <v>51472703119978</v>
      </c>
      <c r="F12" s="6">
        <f t="shared" si="0"/>
        <v>2.5576502165650448E-3</v>
      </c>
      <c r="G12" s="3">
        <v>13901</v>
      </c>
      <c r="H12" s="4">
        <f>G12*9470482</f>
        <v>131649170282</v>
      </c>
      <c r="I12" s="4">
        <f>G12*3702805778</f>
        <v>51472703119978</v>
      </c>
    </row>
    <row r="13" spans="1:9" x14ac:dyDescent="0.35">
      <c r="A13" s="15"/>
      <c r="B13" s="15"/>
      <c r="C13" s="2">
        <v>2020</v>
      </c>
      <c r="D13" s="5">
        <v>-4758335417745</v>
      </c>
      <c r="E13" s="5">
        <v>48359702362335</v>
      </c>
      <c r="F13" s="6">
        <f t="shared" si="0"/>
        <v>-9.8394638207100177E-2</v>
      </c>
      <c r="G13" s="3">
        <v>14105</v>
      </c>
      <c r="H13" s="4">
        <f>G13*-337350969</f>
        <v>-4758335417745</v>
      </c>
      <c r="I13" s="4">
        <f>G13*3428550327</f>
        <v>48359702362335</v>
      </c>
    </row>
    <row r="14" spans="1:9" x14ac:dyDescent="0.35">
      <c r="A14" s="15"/>
      <c r="B14" s="15"/>
      <c r="C14" s="2">
        <v>2021</v>
      </c>
      <c r="D14" s="5">
        <v>3187366612766</v>
      </c>
      <c r="E14" s="5">
        <v>60269220783934</v>
      </c>
      <c r="F14" s="6">
        <f t="shared" si="0"/>
        <v>5.2885479043984225E-2</v>
      </c>
      <c r="G14" s="3">
        <v>14269</v>
      </c>
      <c r="H14" s="4">
        <f>G14*223377014</f>
        <v>3187366612766</v>
      </c>
      <c r="I14" s="4">
        <f>G14*4223787286</f>
        <v>60269220783934</v>
      </c>
    </row>
    <row r="15" spans="1:9" x14ac:dyDescent="0.35">
      <c r="A15" s="15"/>
      <c r="B15" s="15"/>
      <c r="C15" s="2">
        <v>2022</v>
      </c>
      <c r="D15" s="5">
        <v>9101243450846</v>
      </c>
      <c r="E15" s="5">
        <v>70601466869339</v>
      </c>
      <c r="F15" s="6">
        <f t="shared" si="0"/>
        <v>0.12891011836467259</v>
      </c>
      <c r="G15" s="3">
        <v>15731</v>
      </c>
      <c r="H15" s="4">
        <f>G15*578554666</f>
        <v>9101243450846</v>
      </c>
      <c r="I15" s="4">
        <f>G15*4488046969</f>
        <v>70601466869339</v>
      </c>
    </row>
    <row r="16" spans="1:9" x14ac:dyDescent="0.35">
      <c r="A16" s="15"/>
      <c r="B16" s="15"/>
      <c r="C16" s="2">
        <v>2023</v>
      </c>
      <c r="D16" s="5">
        <v>499875177008</v>
      </c>
      <c r="E16" s="5">
        <v>64788734033856</v>
      </c>
      <c r="F16" s="6">
        <f t="shared" si="0"/>
        <v>7.7154644933606084E-3</v>
      </c>
      <c r="G16" s="3">
        <v>15416</v>
      </c>
      <c r="H16" s="4">
        <f>G16*32425738</f>
        <v>499875177008</v>
      </c>
      <c r="I16" s="4">
        <f>G16*4202694216</f>
        <v>64788734033856</v>
      </c>
    </row>
    <row r="17" spans="1:9" x14ac:dyDescent="0.35">
      <c r="A17" s="15">
        <v>4</v>
      </c>
      <c r="B17" s="15" t="s">
        <v>10</v>
      </c>
      <c r="C17" s="2">
        <v>2019</v>
      </c>
      <c r="D17" s="5">
        <v>1758504302000</v>
      </c>
      <c r="E17" s="5">
        <v>16806878941000</v>
      </c>
      <c r="F17" s="6">
        <f t="shared" si="0"/>
        <v>0.10463003322467973</v>
      </c>
      <c r="G17" s="3">
        <v>13901</v>
      </c>
      <c r="H17" s="4">
        <f>G17*126502000</f>
        <v>1758504302000</v>
      </c>
      <c r="I17" s="4">
        <f>G17*1209041000</f>
        <v>16806878941000</v>
      </c>
    </row>
    <row r="18" spans="1:9" x14ac:dyDescent="0.35">
      <c r="A18" s="15"/>
      <c r="B18" s="15"/>
      <c r="C18" s="2">
        <v>2020</v>
      </c>
      <c r="D18" s="5">
        <v>533563940000</v>
      </c>
      <c r="E18" s="5">
        <v>16342462045000</v>
      </c>
      <c r="F18" s="6">
        <f t="shared" si="0"/>
        <v>3.2648932488311619E-2</v>
      </c>
      <c r="G18" s="3">
        <v>14105</v>
      </c>
      <c r="H18" s="4">
        <f>G18*37828000</f>
        <v>533563940000</v>
      </c>
      <c r="I18" s="4">
        <f>G18*1158629000</f>
        <v>16342462045000</v>
      </c>
    </row>
    <row r="19" spans="1:9" x14ac:dyDescent="0.35">
      <c r="A19" s="15"/>
      <c r="B19" s="15"/>
      <c r="C19" s="2">
        <v>2021</v>
      </c>
      <c r="D19" s="5">
        <v>6783339910000</v>
      </c>
      <c r="E19" s="5">
        <v>23775564291000</v>
      </c>
      <c r="F19" s="6">
        <f t="shared" si="0"/>
        <v>0.28530720983004237</v>
      </c>
      <c r="G19" s="3">
        <v>14269</v>
      </c>
      <c r="H19" s="4">
        <f>G19*475390000</f>
        <v>6783339910000</v>
      </c>
      <c r="I19" s="4">
        <f>G19*1666239000</f>
        <v>23775564291000</v>
      </c>
    </row>
    <row r="20" spans="1:9" x14ac:dyDescent="0.35">
      <c r="A20" s="15"/>
      <c r="B20" s="15"/>
      <c r="C20" s="2">
        <v>2022</v>
      </c>
      <c r="D20" s="5">
        <v>18866896195000</v>
      </c>
      <c r="E20" s="5">
        <v>41532624387000</v>
      </c>
      <c r="F20" s="6">
        <f t="shared" si="0"/>
        <v>0.45426689195459241</v>
      </c>
      <c r="G20" s="3">
        <v>15731</v>
      </c>
      <c r="H20" s="4">
        <f>G20*1199345000</f>
        <v>18866896195000</v>
      </c>
      <c r="I20" s="4">
        <f>G20*2640177000</f>
        <v>41532624387000</v>
      </c>
    </row>
    <row r="21" spans="1:9" x14ac:dyDescent="0.35">
      <c r="A21" s="15"/>
      <c r="B21" s="15"/>
      <c r="C21" s="2">
        <v>2023</v>
      </c>
      <c r="D21" s="5">
        <v>7702141920000</v>
      </c>
      <c r="E21" s="5">
        <v>33727849352000</v>
      </c>
      <c r="F21" s="6">
        <f t="shared" si="0"/>
        <v>0.22836148962884517</v>
      </c>
      <c r="G21" s="3">
        <v>15416</v>
      </c>
      <c r="H21" s="4">
        <f>G21*499620000</f>
        <v>7702141920000</v>
      </c>
      <c r="I21" s="4">
        <f>G21*2187847000</f>
        <v>33727849352000</v>
      </c>
    </row>
    <row r="22" spans="1:9" x14ac:dyDescent="0.35">
      <c r="A22" s="15">
        <v>5</v>
      </c>
      <c r="B22" s="15" t="s">
        <v>11</v>
      </c>
      <c r="C22" s="2">
        <v>2019</v>
      </c>
      <c r="D22" s="5">
        <v>362794261529</v>
      </c>
      <c r="E22" s="5">
        <v>2226686478948</v>
      </c>
      <c r="F22" s="6">
        <f t="shared" si="0"/>
        <v>0.16293010487062484</v>
      </c>
      <c r="G22" s="3">
        <v>13901</v>
      </c>
      <c r="H22" s="4">
        <f>G22*26098429</f>
        <v>362794261529</v>
      </c>
      <c r="I22" s="4">
        <f>G22*160181748</f>
        <v>2226686478948</v>
      </c>
    </row>
    <row r="23" spans="1:9" x14ac:dyDescent="0.35">
      <c r="A23" s="15"/>
      <c r="B23" s="15"/>
      <c r="C23" s="2">
        <v>2020</v>
      </c>
      <c r="D23" s="5">
        <v>317837302510</v>
      </c>
      <c r="E23" s="5">
        <v>2131390456195</v>
      </c>
      <c r="F23" s="6">
        <f t="shared" si="0"/>
        <v>0.14912204452552977</v>
      </c>
      <c r="G23" s="3">
        <v>14105</v>
      </c>
      <c r="H23" s="4">
        <f>G23*22533662</f>
        <v>317837302510</v>
      </c>
      <c r="I23" s="4">
        <f>G23*151108859</f>
        <v>2131390456195</v>
      </c>
    </row>
    <row r="24" spans="1:9" x14ac:dyDescent="0.35">
      <c r="A24" s="15"/>
      <c r="B24" s="15"/>
      <c r="C24" s="2">
        <v>2021</v>
      </c>
      <c r="D24" s="5">
        <v>384642084465</v>
      </c>
      <c r="E24" s="5">
        <v>2339681879944</v>
      </c>
      <c r="F24" s="6">
        <f t="shared" si="0"/>
        <v>0.1643993090523086</v>
      </c>
      <c r="G24" s="3">
        <v>14269</v>
      </c>
      <c r="H24" s="4">
        <f>G24*26956485</f>
        <v>384642084465</v>
      </c>
      <c r="I24" s="4">
        <f>G24*163969576</f>
        <v>2339681879944</v>
      </c>
    </row>
    <row r="25" spans="1:9" x14ac:dyDescent="0.35">
      <c r="A25" s="15"/>
      <c r="B25" s="15"/>
      <c r="C25" s="2">
        <v>2022</v>
      </c>
      <c r="D25" s="5">
        <v>221822484918</v>
      </c>
      <c r="E25" s="5">
        <v>2666219424785</v>
      </c>
      <c r="F25" s="6">
        <f t="shared" si="0"/>
        <v>8.3197385352440534E-2</v>
      </c>
      <c r="G25" s="3">
        <v>15731</v>
      </c>
      <c r="H25" s="4">
        <f>G25*14100978</f>
        <v>221822484918</v>
      </c>
      <c r="I25" s="4">
        <f>G25*169488235</f>
        <v>2666219424785</v>
      </c>
    </row>
    <row r="26" spans="1:9" x14ac:dyDescent="0.35">
      <c r="A26" s="15"/>
      <c r="B26" s="15"/>
      <c r="C26" s="2">
        <v>2023</v>
      </c>
      <c r="D26" s="5">
        <v>285120214944</v>
      </c>
      <c r="E26" s="5">
        <v>3664574820880</v>
      </c>
      <c r="F26" s="6">
        <f t="shared" si="0"/>
        <v>7.7804446321969783E-2</v>
      </c>
      <c r="G26" s="3">
        <v>15416</v>
      </c>
      <c r="H26" s="4">
        <f>G26*18495084</f>
        <v>285120214944</v>
      </c>
      <c r="I26" s="4">
        <f>G26*237712430</f>
        <v>3664574820880</v>
      </c>
    </row>
    <row r="27" spans="1:9" x14ac:dyDescent="0.35">
      <c r="A27" s="15">
        <v>6</v>
      </c>
      <c r="B27" s="15" t="s">
        <v>12</v>
      </c>
      <c r="C27" s="2">
        <v>2019</v>
      </c>
      <c r="D27" s="5">
        <v>435434924000</v>
      </c>
      <c r="E27" s="5">
        <v>7660062644000</v>
      </c>
      <c r="F27" s="6">
        <f t="shared" si="0"/>
        <v>5.6844825458584068E-2</v>
      </c>
      <c r="G27" s="3">
        <v>13901</v>
      </c>
      <c r="H27" s="4">
        <f>G27*31324000</f>
        <v>435434924000</v>
      </c>
      <c r="I27" s="4">
        <f>G27*551044000</f>
        <v>7660062644000</v>
      </c>
    </row>
    <row r="28" spans="1:9" x14ac:dyDescent="0.35">
      <c r="A28" s="15"/>
      <c r="B28" s="15"/>
      <c r="C28" s="2">
        <v>2020</v>
      </c>
      <c r="D28" s="5">
        <v>458384290000</v>
      </c>
      <c r="E28" s="5">
        <v>7471249240000</v>
      </c>
      <c r="F28" s="6">
        <f t="shared" si="0"/>
        <v>6.1353098427753695E-2</v>
      </c>
      <c r="G28" s="3">
        <v>14105</v>
      </c>
      <c r="H28" s="4">
        <f>G28*32498000</f>
        <v>458384290000</v>
      </c>
      <c r="I28" s="4">
        <f>G28*529688000</f>
        <v>7471249240000</v>
      </c>
    </row>
    <row r="29" spans="1:9" x14ac:dyDescent="0.35">
      <c r="A29" s="15"/>
      <c r="B29" s="15"/>
      <c r="C29" s="2">
        <v>2021</v>
      </c>
      <c r="D29" s="5">
        <v>484475357000</v>
      </c>
      <c r="E29" s="5">
        <v>7601609984000</v>
      </c>
      <c r="F29" s="6">
        <f t="shared" si="0"/>
        <v>6.3733256246996633E-2</v>
      </c>
      <c r="G29" s="3">
        <v>14269</v>
      </c>
      <c r="H29" s="4">
        <f>G29*33953000</f>
        <v>484475357000</v>
      </c>
      <c r="I29" s="4">
        <f>G29*532736000</f>
        <v>7601609984000</v>
      </c>
    </row>
    <row r="30" spans="1:9" x14ac:dyDescent="0.35">
      <c r="A30" s="15"/>
      <c r="B30" s="15"/>
      <c r="C30" s="2">
        <v>2022</v>
      </c>
      <c r="D30" s="5">
        <v>647582346000</v>
      </c>
      <c r="E30" s="5">
        <v>9382283020000</v>
      </c>
      <c r="F30" s="6">
        <f t="shared" si="0"/>
        <v>6.9021830253847963E-2</v>
      </c>
      <c r="G30" s="3">
        <v>15731</v>
      </c>
      <c r="H30" s="4">
        <f>G30*41166000</f>
        <v>647582346000</v>
      </c>
      <c r="I30" s="4">
        <f>G30*596420000</f>
        <v>9382283020000</v>
      </c>
    </row>
    <row r="31" spans="1:9" x14ac:dyDescent="0.35">
      <c r="A31" s="15"/>
      <c r="B31" s="15"/>
      <c r="C31" s="2">
        <v>2023</v>
      </c>
      <c r="D31" s="5">
        <v>191744208000</v>
      </c>
      <c r="E31" s="5">
        <v>11222000120000</v>
      </c>
      <c r="F31" s="6">
        <f t="shared" si="0"/>
        <v>1.7086455707505374E-2</v>
      </c>
      <c r="G31" s="3">
        <v>15416</v>
      </c>
      <c r="H31" s="4">
        <f>G31*12438000</f>
        <v>191744208000</v>
      </c>
      <c r="I31" s="4">
        <f>G31*727945000</f>
        <v>11222000120000</v>
      </c>
    </row>
    <row r="32" spans="1:9" x14ac:dyDescent="0.35">
      <c r="A32" s="15">
        <v>7</v>
      </c>
      <c r="B32" s="15" t="s">
        <v>13</v>
      </c>
      <c r="C32" s="2">
        <v>2019</v>
      </c>
      <c r="D32" s="5">
        <v>4040394000</v>
      </c>
      <c r="E32" s="5">
        <v>26098052000</v>
      </c>
      <c r="F32" s="6">
        <f t="shared" si="0"/>
        <v>0.15481592265966823</v>
      </c>
      <c r="G32" s="3"/>
    </row>
    <row r="33" spans="1:9" x14ac:dyDescent="0.35">
      <c r="A33" s="15"/>
      <c r="B33" s="15"/>
      <c r="C33" s="2">
        <v>2020</v>
      </c>
      <c r="D33" s="5">
        <v>2407927000</v>
      </c>
      <c r="E33" s="5">
        <v>24056755000</v>
      </c>
      <c r="F33" s="6">
        <f t="shared" si="0"/>
        <v>0.10009359117636606</v>
      </c>
      <c r="G33" s="3"/>
    </row>
    <row r="34" spans="1:9" x14ac:dyDescent="0.35">
      <c r="A34" s="15"/>
      <c r="B34" s="15"/>
      <c r="C34" s="2">
        <v>2021</v>
      </c>
      <c r="D34" s="5">
        <v>8036888000</v>
      </c>
      <c r="E34" s="5">
        <v>36123703000</v>
      </c>
      <c r="F34" s="6">
        <f t="shared" si="0"/>
        <v>0.22248239611537057</v>
      </c>
      <c r="G34" s="3"/>
    </row>
    <row r="35" spans="1:9" x14ac:dyDescent="0.35">
      <c r="A35" s="15"/>
      <c r="B35" s="15"/>
      <c r="C35" s="2">
        <v>2022</v>
      </c>
      <c r="D35" s="5">
        <v>12779427000</v>
      </c>
      <c r="E35" s="5">
        <v>45359207000</v>
      </c>
      <c r="F35" s="6">
        <f t="shared" si="0"/>
        <v>0.28173832492265571</v>
      </c>
      <c r="G35" s="3"/>
    </row>
    <row r="36" spans="1:9" x14ac:dyDescent="0.35">
      <c r="A36" s="15"/>
      <c r="B36" s="15"/>
      <c r="C36" s="2">
        <v>2023</v>
      </c>
      <c r="D36" s="5">
        <v>6292521000</v>
      </c>
      <c r="E36" s="5">
        <v>38765189000</v>
      </c>
      <c r="F36" s="6">
        <f t="shared" si="0"/>
        <v>0.16232401188602485</v>
      </c>
      <c r="G36" s="3"/>
    </row>
    <row r="37" spans="1:9" x14ac:dyDescent="0.35">
      <c r="A37" s="15">
        <v>8</v>
      </c>
      <c r="B37" s="15" t="s">
        <v>14</v>
      </c>
      <c r="C37" s="2">
        <v>2019</v>
      </c>
      <c r="D37" s="5">
        <v>703077279000</v>
      </c>
      <c r="E37" s="5">
        <v>21409046173000</v>
      </c>
      <c r="F37" s="6">
        <f>D37/E37</f>
        <v>3.2840196303872957E-2</v>
      </c>
      <c r="G37" s="3"/>
    </row>
    <row r="38" spans="1:9" x14ac:dyDescent="0.35">
      <c r="A38" s="15"/>
      <c r="B38" s="15"/>
      <c r="C38" s="2">
        <v>2020</v>
      </c>
      <c r="D38" s="5">
        <v>961997313000</v>
      </c>
      <c r="E38" s="5">
        <v>18683572815000</v>
      </c>
      <c r="F38" s="6">
        <f t="shared" si="0"/>
        <v>5.1488937502770664E-2</v>
      </c>
      <c r="G38" s="3"/>
    </row>
    <row r="39" spans="1:9" x14ac:dyDescent="0.35">
      <c r="A39" s="15"/>
      <c r="B39" s="15"/>
      <c r="C39" s="2">
        <v>2021</v>
      </c>
      <c r="D39" s="5">
        <v>1135001756000</v>
      </c>
      <c r="E39" s="5">
        <v>23508585736000</v>
      </c>
      <c r="F39" s="6">
        <f t="shared" si="0"/>
        <v>4.8280307830764521E-2</v>
      </c>
      <c r="G39" s="3"/>
    </row>
    <row r="40" spans="1:9" x14ac:dyDescent="0.35">
      <c r="A40" s="15"/>
      <c r="B40" s="15"/>
      <c r="C40" s="2">
        <v>2022</v>
      </c>
      <c r="D40" s="5">
        <v>2479059157000</v>
      </c>
      <c r="E40" s="5">
        <v>2718760803600</v>
      </c>
      <c r="F40" s="6">
        <f t="shared" si="0"/>
        <v>0.91183422746031828</v>
      </c>
      <c r="G40" s="3"/>
    </row>
    <row r="41" spans="1:9" x14ac:dyDescent="0.35">
      <c r="A41" s="15"/>
      <c r="B41" s="15"/>
      <c r="C41" s="2">
        <v>2023</v>
      </c>
      <c r="D41" s="5">
        <v>3078469701000</v>
      </c>
      <c r="E41" s="5">
        <v>30254623117000</v>
      </c>
      <c r="F41" s="6">
        <f t="shared" si="0"/>
        <v>0.10175204262485806</v>
      </c>
      <c r="G41" s="3"/>
    </row>
    <row r="42" spans="1:9" x14ac:dyDescent="0.35">
      <c r="A42" s="15">
        <v>9</v>
      </c>
      <c r="B42" s="15" t="s">
        <v>15</v>
      </c>
      <c r="C42" s="2">
        <v>2019</v>
      </c>
      <c r="D42" s="5">
        <v>69399825034</v>
      </c>
      <c r="E42" s="5">
        <v>50268282766565</v>
      </c>
      <c r="F42" s="6">
        <f t="shared" si="0"/>
        <v>1.380588737361046E-3</v>
      </c>
      <c r="G42" s="3">
        <v>13901</v>
      </c>
      <c r="H42" s="4">
        <f>G42*4992434</f>
        <v>69399825034</v>
      </c>
      <c r="I42" s="4">
        <f>G42*3616163065</f>
        <v>50268282766565</v>
      </c>
    </row>
    <row r="43" spans="1:9" x14ac:dyDescent="0.35">
      <c r="A43" s="15"/>
      <c r="B43" s="15"/>
      <c r="C43" s="2">
        <v>2020</v>
      </c>
      <c r="D43" s="5">
        <v>1459130852270</v>
      </c>
      <c r="E43" s="5">
        <v>49278678797985</v>
      </c>
      <c r="F43" s="6">
        <f t="shared" si="0"/>
        <v>2.9609780291627131E-2</v>
      </c>
      <c r="G43" s="3">
        <v>14105</v>
      </c>
      <c r="H43" s="4">
        <f>G43*103447774</f>
        <v>1459130852270</v>
      </c>
      <c r="I43" s="4">
        <f>G43*3493702857</f>
        <v>49278678797985</v>
      </c>
    </row>
    <row r="44" spans="1:9" x14ac:dyDescent="0.35">
      <c r="A44" s="15"/>
      <c r="B44" s="15"/>
      <c r="C44" s="2">
        <v>2021</v>
      </c>
      <c r="D44" s="5">
        <v>903464508324</v>
      </c>
      <c r="E44" s="5">
        <v>52673686754169</v>
      </c>
      <c r="F44" s="6">
        <f t="shared" si="0"/>
        <v>1.7152103146691036E-2</v>
      </c>
      <c r="G44" s="3">
        <v>14269</v>
      </c>
      <c r="H44" s="4">
        <f>G44*63316596</f>
        <v>903464508324</v>
      </c>
      <c r="I44" s="4">
        <f>G44*3691477101</f>
        <v>52673686754169</v>
      </c>
    </row>
    <row r="45" spans="1:9" x14ac:dyDescent="0.35">
      <c r="A45" s="15"/>
      <c r="B45" s="15"/>
      <c r="C45" s="2">
        <v>2022</v>
      </c>
      <c r="D45" s="5">
        <v>8035018781907</v>
      </c>
      <c r="E45" s="5">
        <v>56535201092702</v>
      </c>
      <c r="F45" s="6">
        <f t="shared" si="0"/>
        <v>0.14212417443659225</v>
      </c>
      <c r="G45" s="3">
        <v>15731</v>
      </c>
      <c r="H45" s="4">
        <f>G45*510776097</f>
        <v>8035018781907</v>
      </c>
      <c r="I45" s="4">
        <f>G45*3593872042</f>
        <v>56535201092702</v>
      </c>
    </row>
    <row r="46" spans="1:9" x14ac:dyDescent="0.35">
      <c r="A46" s="15"/>
      <c r="B46" s="15"/>
      <c r="C46" s="2">
        <v>2023</v>
      </c>
      <c r="D46" s="5">
        <v>2328480290856</v>
      </c>
      <c r="E46" s="5">
        <v>47991586444240</v>
      </c>
      <c r="F46" s="6">
        <f t="shared" si="0"/>
        <v>4.8518510501031092E-2</v>
      </c>
      <c r="G46" s="3">
        <v>15416</v>
      </c>
      <c r="H46" s="4">
        <f>G46*151043091</f>
        <v>2328480290856</v>
      </c>
      <c r="I46" s="4">
        <f>G46*3113102390</f>
        <v>47991586444240</v>
      </c>
    </row>
    <row r="47" spans="1:9" x14ac:dyDescent="0.35">
      <c r="A47" s="15">
        <v>10</v>
      </c>
      <c r="B47" s="15" t="s">
        <v>16</v>
      </c>
      <c r="C47" s="2">
        <v>2019</v>
      </c>
      <c r="D47" s="5">
        <v>1570551591695</v>
      </c>
      <c r="E47" s="5">
        <v>102501986581556</v>
      </c>
      <c r="F47" s="6">
        <f t="shared" si="0"/>
        <v>1.5322157590042278E-2</v>
      </c>
      <c r="G47" s="3">
        <v>13901</v>
      </c>
      <c r="H47" s="4">
        <f>G47*112981195</f>
        <v>1570551591695</v>
      </c>
      <c r="I47" s="4">
        <f>G47*7373713156</f>
        <v>102501986581556</v>
      </c>
    </row>
    <row r="48" spans="1:9" x14ac:dyDescent="0.35">
      <c r="A48" s="15"/>
      <c r="B48" s="15"/>
      <c r="C48" s="2">
        <v>2020</v>
      </c>
      <c r="D48" s="5">
        <v>-3043405016470</v>
      </c>
      <c r="E48" s="5">
        <v>106266878101475</v>
      </c>
      <c r="F48" s="6">
        <f t="shared" si="0"/>
        <v>-2.8639262494978265E-2</v>
      </c>
      <c r="G48" s="3">
        <v>14105</v>
      </c>
      <c r="H48" s="4">
        <f>G48*-215767814</f>
        <v>-3043405016470</v>
      </c>
      <c r="I48" s="4">
        <f>G48*7533986395</f>
        <v>106266878101475</v>
      </c>
    </row>
    <row r="49" spans="1:9" x14ac:dyDescent="0.35">
      <c r="A49" s="15"/>
      <c r="B49" s="15"/>
      <c r="C49" s="2">
        <v>2021</v>
      </c>
      <c r="D49" s="5">
        <v>5201537572315</v>
      </c>
      <c r="E49" s="5">
        <v>107173729882638</v>
      </c>
      <c r="F49" s="6">
        <f t="shared" si="0"/>
        <v>4.853369923777974E-2</v>
      </c>
      <c r="G49" s="3">
        <v>14269</v>
      </c>
      <c r="H49" s="4">
        <f>G49*364534135</f>
        <v>5201537572315</v>
      </c>
      <c r="I49" s="4">
        <f>G49*7510948902</f>
        <v>107173729882638</v>
      </c>
    </row>
    <row r="50" spans="1:9" x14ac:dyDescent="0.35">
      <c r="A50" s="15"/>
      <c r="B50" s="15"/>
      <c r="C50" s="2">
        <v>2022</v>
      </c>
      <c r="D50" s="5">
        <v>6313519512471</v>
      </c>
      <c r="E50" s="5">
        <v>113182342376842</v>
      </c>
      <c r="F50" s="6">
        <f t="shared" si="0"/>
        <v>5.578184175982203E-2</v>
      </c>
      <c r="G50" s="3">
        <v>15731</v>
      </c>
      <c r="H50" s="4">
        <f>G50*401342541</f>
        <v>6313519512471</v>
      </c>
      <c r="I50" s="4">
        <f>G50*7194859982</f>
        <v>113182342376842</v>
      </c>
    </row>
    <row r="51" spans="1:9" x14ac:dyDescent="0.35">
      <c r="A51" s="15"/>
      <c r="B51" s="15"/>
      <c r="C51" s="2">
        <v>2023</v>
      </c>
      <c r="D51" s="5">
        <v>5805910729816</v>
      </c>
      <c r="E51" s="5">
        <v>101733860238104</v>
      </c>
      <c r="F51" s="6">
        <f t="shared" si="0"/>
        <v>5.7069600192379409E-2</v>
      </c>
      <c r="G51" s="3">
        <v>15416</v>
      </c>
      <c r="H51" s="4">
        <f>G51*376615901</f>
        <v>5805910729816</v>
      </c>
      <c r="I51" s="4">
        <f>G51*6599238469</f>
        <v>101733860238104</v>
      </c>
    </row>
    <row r="52" spans="1:9" x14ac:dyDescent="0.35">
      <c r="A52" s="15">
        <v>11</v>
      </c>
      <c r="B52" s="15" t="s">
        <v>17</v>
      </c>
      <c r="C52" s="2">
        <v>2019</v>
      </c>
      <c r="D52" s="5">
        <v>25135343368</v>
      </c>
      <c r="E52" s="5">
        <v>3032300612430</v>
      </c>
      <c r="F52" s="6">
        <f t="shared" si="0"/>
        <v>8.2891990540005355E-3</v>
      </c>
      <c r="G52" s="3">
        <v>13901</v>
      </c>
      <c r="H52" s="4">
        <f>G52*1808168</f>
        <v>25135343368</v>
      </c>
      <c r="I52" s="4">
        <f>G52*218135430</f>
        <v>3032300612430</v>
      </c>
    </row>
    <row r="53" spans="1:9" x14ac:dyDescent="0.35">
      <c r="A53" s="15"/>
      <c r="B53" s="15"/>
      <c r="C53" s="2">
        <v>2020</v>
      </c>
      <c r="D53" s="5">
        <v>-211235831170</v>
      </c>
      <c r="E53" s="5">
        <v>2748487041300</v>
      </c>
      <c r="F53" s="6">
        <f t="shared" si="0"/>
        <v>-7.6855312757846614E-2</v>
      </c>
      <c r="G53" s="3">
        <v>14105</v>
      </c>
      <c r="H53" s="4">
        <f>G53*-14975954</f>
        <v>-211235831170</v>
      </c>
      <c r="I53" s="4">
        <f>G53*194859060</f>
        <v>2748487041300</v>
      </c>
    </row>
    <row r="54" spans="1:9" x14ac:dyDescent="0.35">
      <c r="A54" s="15"/>
      <c r="B54" s="15"/>
      <c r="C54" s="2">
        <v>2021</v>
      </c>
      <c r="D54" s="5">
        <v>173254340690</v>
      </c>
      <c r="E54" s="5">
        <v>2534732103865</v>
      </c>
      <c r="F54" s="6">
        <f t="shared" si="0"/>
        <v>6.8352130951361292E-2</v>
      </c>
      <c r="G54" s="3">
        <v>14269</v>
      </c>
      <c r="H54" s="4">
        <f>G54*12142010</f>
        <v>173254340690</v>
      </c>
      <c r="I54" s="4">
        <f>G54*177639085</f>
        <v>2534732103865</v>
      </c>
    </row>
    <row r="55" spans="1:9" x14ac:dyDescent="0.35">
      <c r="A55" s="15"/>
      <c r="B55" s="15"/>
      <c r="C55" s="2">
        <v>2022</v>
      </c>
      <c r="D55" s="5">
        <v>402486114009</v>
      </c>
      <c r="E55" s="5">
        <v>3319144600432</v>
      </c>
      <c r="F55" s="6">
        <f t="shared" si="0"/>
        <v>0.12126200044331145</v>
      </c>
      <c r="G55" s="3">
        <v>15731</v>
      </c>
      <c r="H55" s="4">
        <f>G55*25585539</f>
        <v>402486114009</v>
      </c>
      <c r="I55" s="4">
        <f>G55*210993872</f>
        <v>3319144600432</v>
      </c>
    </row>
    <row r="56" spans="1:9" x14ac:dyDescent="0.35">
      <c r="A56" s="15"/>
      <c r="B56" s="15"/>
      <c r="C56" s="2">
        <v>2023</v>
      </c>
      <c r="D56" s="5">
        <v>379831941208</v>
      </c>
      <c r="E56" s="5">
        <v>3808801999176</v>
      </c>
      <c r="F56" s="6">
        <f t="shared" si="0"/>
        <v>9.9724779941349859E-2</v>
      </c>
      <c r="G56" s="3">
        <v>15416</v>
      </c>
      <c r="H56" s="4">
        <f>G56*24638813</f>
        <v>379831941208</v>
      </c>
      <c r="I56" s="4">
        <f>G56*247068111</f>
        <v>3808801999176</v>
      </c>
    </row>
    <row r="57" spans="1:9" x14ac:dyDescent="0.35">
      <c r="A57" s="15">
        <v>12</v>
      </c>
      <c r="B57" s="15" t="s">
        <v>18</v>
      </c>
      <c r="C57" s="2">
        <v>2019</v>
      </c>
      <c r="D57" s="5">
        <v>-346842961336</v>
      </c>
      <c r="E57" s="5">
        <v>83371573075321</v>
      </c>
      <c r="F57" s="6">
        <f t="shared" si="0"/>
        <v>-4.1602065133477702E-3</v>
      </c>
      <c r="G57" s="3">
        <v>13901</v>
      </c>
      <c r="H57" s="4">
        <f>G57*-24950936</f>
        <v>-346842961336</v>
      </c>
      <c r="I57" s="4">
        <f>G57*5997523421</f>
        <v>83371573075321</v>
      </c>
    </row>
    <row r="58" spans="1:9" x14ac:dyDescent="0.35">
      <c r="A58" s="15"/>
      <c r="B58" s="15"/>
      <c r="C58" s="2">
        <v>2020</v>
      </c>
      <c r="D58" s="5">
        <v>-2500866149600</v>
      </c>
      <c r="E58" s="5">
        <v>83231107780275</v>
      </c>
      <c r="F58" s="6">
        <f t="shared" si="0"/>
        <v>-3.0047252959820414E-2</v>
      </c>
      <c r="G58" s="3">
        <v>14105</v>
      </c>
      <c r="H58" s="4">
        <f>G58*-177303520</f>
        <v>-2500866149600</v>
      </c>
      <c r="I58" s="4">
        <f>G58*5900822955</f>
        <v>83231107780275</v>
      </c>
    </row>
    <row r="59" spans="1:9" x14ac:dyDescent="0.35">
      <c r="A59" s="15"/>
      <c r="B59" s="15"/>
      <c r="C59" s="2">
        <v>2021</v>
      </c>
      <c r="D59" s="5">
        <v>893250116019</v>
      </c>
      <c r="E59" s="5">
        <v>81103342779391</v>
      </c>
      <c r="F59" s="6">
        <f t="shared" si="0"/>
        <v>1.1013727491463914E-2</v>
      </c>
      <c r="G59" s="3">
        <v>14269</v>
      </c>
      <c r="H59" s="4">
        <f>G59*62600751</f>
        <v>893250116019</v>
      </c>
      <c r="I59" s="4">
        <f>G59*5683884139</f>
        <v>81103342779391</v>
      </c>
    </row>
    <row r="60" spans="1:9" x14ac:dyDescent="0.35">
      <c r="A60" s="15"/>
      <c r="B60" s="15"/>
      <c r="C60" s="2">
        <v>2022</v>
      </c>
      <c r="D60" s="5">
        <v>8674236027078</v>
      </c>
      <c r="E60" s="5">
        <v>109045810548806</v>
      </c>
      <c r="F60" s="6">
        <f t="shared" si="0"/>
        <v>7.9546715122958744E-2</v>
      </c>
      <c r="G60" s="3">
        <v>15731</v>
      </c>
      <c r="H60" s="4">
        <f>G60*551410338</f>
        <v>8674236027078</v>
      </c>
      <c r="I60" s="4">
        <f>G60*6931905826</f>
        <v>109045810548806</v>
      </c>
    </row>
    <row r="61" spans="1:9" x14ac:dyDescent="0.35">
      <c r="A61" s="15"/>
      <c r="B61" s="15"/>
      <c r="C61" s="2">
        <v>2023</v>
      </c>
      <c r="D61" s="5">
        <v>5330368783848</v>
      </c>
      <c r="E61" s="5">
        <v>115131563602904</v>
      </c>
      <c r="F61" s="6">
        <f t="shared" si="0"/>
        <v>4.6298066464490806E-2</v>
      </c>
      <c r="G61" s="3">
        <v>15416</v>
      </c>
      <c r="H61" s="4">
        <f>G61*345768603</f>
        <v>5330368783848</v>
      </c>
      <c r="I61" s="4">
        <f>G61*7468316269</f>
        <v>115131563602904</v>
      </c>
    </row>
    <row r="62" spans="1:9" x14ac:dyDescent="0.35">
      <c r="A62" s="15">
        <v>13</v>
      </c>
      <c r="B62" s="15" t="s">
        <v>19</v>
      </c>
      <c r="C62" s="2">
        <v>2019</v>
      </c>
      <c r="D62" s="5">
        <v>52462082079</v>
      </c>
      <c r="E62" s="5">
        <v>7638858016897</v>
      </c>
      <c r="F62" s="6">
        <f t="shared" si="0"/>
        <v>6.8677912278189927E-3</v>
      </c>
      <c r="G62" s="3">
        <v>13901</v>
      </c>
      <c r="H62" s="4">
        <f>G62*3773979</f>
        <v>52462082079</v>
      </c>
      <c r="I62" s="4">
        <f>G62*549518597</f>
        <v>7638858016897</v>
      </c>
    </row>
    <row r="63" spans="1:9" x14ac:dyDescent="0.35">
      <c r="A63" s="15"/>
      <c r="B63" s="15"/>
      <c r="C63" s="2">
        <v>2020</v>
      </c>
      <c r="D63" s="5">
        <v>23243516660</v>
      </c>
      <c r="E63" s="5">
        <v>7766771050220</v>
      </c>
      <c r="F63" s="6">
        <f t="shared" si="0"/>
        <v>2.992687245408323E-3</v>
      </c>
      <c r="G63" s="3">
        <v>14105</v>
      </c>
      <c r="H63" s="4">
        <f>G63*1647892</f>
        <v>23243516660</v>
      </c>
      <c r="I63" s="4">
        <f>G63*550639564</f>
        <v>7766771050220</v>
      </c>
    </row>
    <row r="64" spans="1:9" x14ac:dyDescent="0.35">
      <c r="A64" s="15"/>
      <c r="B64" s="15"/>
      <c r="C64" s="2">
        <v>2021</v>
      </c>
      <c r="D64" s="5">
        <v>10701593041</v>
      </c>
      <c r="E64" s="5">
        <v>8155744216077</v>
      </c>
      <c r="F64" s="6">
        <f t="shared" si="0"/>
        <v>1.3121540790728206E-3</v>
      </c>
      <c r="G64" s="3">
        <v>14269</v>
      </c>
      <c r="H64" s="4">
        <f>G64*749989</f>
        <v>10701593041</v>
      </c>
      <c r="I64" s="4">
        <f>G64*571570833</f>
        <v>8155744216077</v>
      </c>
    </row>
    <row r="65" spans="1:9" x14ac:dyDescent="0.35">
      <c r="A65" s="15"/>
      <c r="B65" s="15"/>
      <c r="C65" s="2">
        <v>2022</v>
      </c>
      <c r="D65" s="5">
        <v>-3912425988468</v>
      </c>
      <c r="E65" s="5">
        <v>125674013975906</v>
      </c>
      <c r="F65" s="6">
        <f t="shared" si="0"/>
        <v>-3.1131543146366625E-2</v>
      </c>
      <c r="G65" s="3">
        <v>15731</v>
      </c>
      <c r="H65" s="4">
        <f>G65*-248708028</f>
        <v>-3912425988468</v>
      </c>
      <c r="I65" s="4">
        <f>G65*7988939926</f>
        <v>125674013975906</v>
      </c>
    </row>
    <row r="66" spans="1:9" x14ac:dyDescent="0.35">
      <c r="A66" s="15"/>
      <c r="B66" s="15"/>
      <c r="C66" s="2">
        <v>2023</v>
      </c>
      <c r="D66" s="5">
        <v>544012971872</v>
      </c>
      <c r="E66" s="5">
        <v>125449535351880</v>
      </c>
      <c r="F66" s="6">
        <f t="shared" si="0"/>
        <v>4.3365084641092486E-3</v>
      </c>
      <c r="G66" s="3">
        <v>15416</v>
      </c>
      <c r="H66" s="4">
        <f>G66*35294692</f>
        <v>544102971872</v>
      </c>
      <c r="I66" s="4">
        <f>G66*8137619055</f>
        <v>125449535351880</v>
      </c>
    </row>
    <row r="67" spans="1:9" x14ac:dyDescent="0.35">
      <c r="A67" s="15">
        <v>14</v>
      </c>
      <c r="B67" s="15" t="s">
        <v>20</v>
      </c>
      <c r="C67" s="2">
        <v>2019</v>
      </c>
      <c r="D67" s="5">
        <v>356625000000</v>
      </c>
      <c r="E67" s="5">
        <v>6805037000000</v>
      </c>
      <c r="F67" s="6">
        <f t="shared" ref="F67:F130" si="1">D67/E67</f>
        <v>5.2406033942210745E-2</v>
      </c>
      <c r="G67" s="3"/>
    </row>
    <row r="68" spans="1:9" x14ac:dyDescent="0.35">
      <c r="A68" s="15"/>
      <c r="B68" s="15"/>
      <c r="C68" s="2">
        <v>2020</v>
      </c>
      <c r="D68" s="5">
        <v>249085000000</v>
      </c>
      <c r="E68" s="5">
        <v>7562822000000</v>
      </c>
      <c r="F68" s="6">
        <f t="shared" si="1"/>
        <v>3.2935457161361197E-2</v>
      </c>
      <c r="G68" s="3"/>
    </row>
    <row r="69" spans="1:9" x14ac:dyDescent="0.35">
      <c r="A69" s="15"/>
      <c r="B69" s="15"/>
      <c r="C69" s="2">
        <v>2021</v>
      </c>
      <c r="D69" s="5">
        <v>108852000000</v>
      </c>
      <c r="E69" s="5">
        <v>7234857000000</v>
      </c>
      <c r="F69" s="6">
        <f t="shared" si="1"/>
        <v>1.5045494333889391E-2</v>
      </c>
      <c r="G69" s="3"/>
    </row>
    <row r="70" spans="1:9" x14ac:dyDescent="0.35">
      <c r="A70" s="15"/>
      <c r="B70" s="15"/>
      <c r="C70" s="2">
        <v>2022</v>
      </c>
      <c r="D70" s="5">
        <v>378058000000</v>
      </c>
      <c r="E70" s="5">
        <v>8836089000000</v>
      </c>
      <c r="F70" s="6">
        <f t="shared" si="1"/>
        <v>4.2785671353016023E-2</v>
      </c>
      <c r="G70" s="3"/>
    </row>
    <row r="71" spans="1:9" x14ac:dyDescent="0.35">
      <c r="A71" s="15"/>
      <c r="B71" s="15"/>
      <c r="C71" s="2">
        <v>2023</v>
      </c>
      <c r="D71" s="5">
        <v>503131000000</v>
      </c>
      <c r="E71" s="5">
        <v>9601482000000</v>
      </c>
      <c r="F71" s="6">
        <f t="shared" si="1"/>
        <v>5.2401389702131401E-2</v>
      </c>
      <c r="G71" s="3"/>
    </row>
    <row r="72" spans="1:9" x14ac:dyDescent="0.35">
      <c r="A72" s="15">
        <v>15</v>
      </c>
      <c r="B72" s="15" t="s">
        <v>21</v>
      </c>
      <c r="C72" s="2">
        <v>2019</v>
      </c>
      <c r="D72" s="5">
        <v>-234126438717</v>
      </c>
      <c r="E72" s="5">
        <v>344388521225</v>
      </c>
      <c r="F72" s="6">
        <f t="shared" si="1"/>
        <v>-0.67983229488661656</v>
      </c>
      <c r="G72" s="3">
        <v>13901</v>
      </c>
      <c r="H72" s="4">
        <f>G72*-16842417</f>
        <v>-234126438717</v>
      </c>
      <c r="I72" s="4">
        <f>G72*247743725</f>
        <v>3443885521225</v>
      </c>
    </row>
    <row r="73" spans="1:9" x14ac:dyDescent="0.35">
      <c r="A73" s="15"/>
      <c r="B73" s="15"/>
      <c r="C73" s="2">
        <v>2020</v>
      </c>
      <c r="D73" s="5">
        <v>-210634591440</v>
      </c>
      <c r="E73" s="5">
        <v>3107520365950</v>
      </c>
      <c r="F73" s="6">
        <f t="shared" si="1"/>
        <v>-6.7782207881236817E-2</v>
      </c>
      <c r="G73" s="3">
        <v>14105</v>
      </c>
      <c r="H73" s="4">
        <f>G73*-14933328</f>
        <v>-210634591440</v>
      </c>
      <c r="I73" s="4">
        <f>G73*220313390</f>
        <v>3107520365950</v>
      </c>
    </row>
    <row r="74" spans="1:9" x14ac:dyDescent="0.35">
      <c r="A74" s="15"/>
      <c r="B74" s="15"/>
      <c r="C74" s="2">
        <v>2021</v>
      </c>
      <c r="D74" s="5">
        <v>1856354093</v>
      </c>
      <c r="E74" s="5">
        <v>2797601771804</v>
      </c>
      <c r="F74" s="6">
        <f t="shared" si="1"/>
        <v>6.6355194356448822E-4</v>
      </c>
      <c r="G74" s="3">
        <v>14269</v>
      </c>
      <c r="H74" s="4">
        <f>G74*130097</f>
        <v>1856354093</v>
      </c>
      <c r="I74" s="4">
        <f>G74*196061516</f>
        <v>2797601771804</v>
      </c>
    </row>
    <row r="75" spans="1:9" x14ac:dyDescent="0.35">
      <c r="A75" s="15"/>
      <c r="B75" s="15"/>
      <c r="C75" s="2">
        <v>2022</v>
      </c>
      <c r="D75" s="5">
        <v>13545885445</v>
      </c>
      <c r="E75" s="5">
        <v>2980170873016</v>
      </c>
      <c r="F75" s="6">
        <f t="shared" si="1"/>
        <v>4.5453385131877556E-3</v>
      </c>
      <c r="G75" s="3">
        <v>15731</v>
      </c>
      <c r="H75" s="4">
        <f>G75*861095</f>
        <v>13545885445</v>
      </c>
      <c r="I75" s="4">
        <f>G75*189445736</f>
        <v>2980170873016</v>
      </c>
    </row>
    <row r="76" spans="1:9" x14ac:dyDescent="0.35">
      <c r="A76" s="15"/>
      <c r="B76" s="15"/>
      <c r="C76" s="2">
        <v>2023</v>
      </c>
      <c r="D76" s="5">
        <v>102217745832</v>
      </c>
      <c r="E76" s="5">
        <v>3002966194720</v>
      </c>
      <c r="F76" s="6">
        <f t="shared" si="1"/>
        <v>3.4038926582565444E-2</v>
      </c>
      <c r="G76" s="3">
        <v>15416</v>
      </c>
      <c r="H76" s="4">
        <f>G76*6630627</f>
        <v>102217745832</v>
      </c>
      <c r="I76" s="4">
        <f>G76*194795420</f>
        <v>3002966194720</v>
      </c>
    </row>
    <row r="77" spans="1:9" x14ac:dyDescent="0.35">
      <c r="A77" s="15">
        <v>16</v>
      </c>
      <c r="B77" s="15" t="s">
        <v>22</v>
      </c>
      <c r="C77" s="2">
        <v>2019</v>
      </c>
      <c r="D77" s="5">
        <v>184725078818</v>
      </c>
      <c r="E77" s="5">
        <v>1990602807233</v>
      </c>
      <c r="F77" s="6">
        <f t="shared" si="1"/>
        <v>9.2798562398680437E-2</v>
      </c>
      <c r="G77" s="3">
        <v>13901</v>
      </c>
      <c r="H77" s="4">
        <f>G77*13288618</f>
        <v>184725078818</v>
      </c>
      <c r="I77" s="4">
        <f>G77*143198533</f>
        <v>1990602807233</v>
      </c>
    </row>
    <row r="78" spans="1:9" x14ac:dyDescent="0.35">
      <c r="A78" s="15"/>
      <c r="B78" s="15"/>
      <c r="C78" s="2">
        <v>2020</v>
      </c>
      <c r="D78" s="5">
        <v>118908253100</v>
      </c>
      <c r="E78" s="5">
        <v>2071120270765</v>
      </c>
      <c r="F78" s="6">
        <f t="shared" si="1"/>
        <v>5.7412529237657169E-2</v>
      </c>
      <c r="G78" s="3">
        <v>14105</v>
      </c>
      <c r="H78" s="4">
        <f>G78*8430220</f>
        <v>118908253100</v>
      </c>
      <c r="I78" s="4">
        <f>G78*146835893</f>
        <v>2071120270765</v>
      </c>
    </row>
    <row r="79" spans="1:9" x14ac:dyDescent="0.35">
      <c r="A79" s="15"/>
      <c r="B79" s="15"/>
      <c r="C79" s="2">
        <v>2021</v>
      </c>
      <c r="D79" s="5">
        <v>357321529814</v>
      </c>
      <c r="E79" s="5">
        <v>2300678624350</v>
      </c>
      <c r="F79" s="6">
        <f t="shared" si="1"/>
        <v>0.15531136162702966</v>
      </c>
      <c r="G79" s="3">
        <v>14269</v>
      </c>
      <c r="H79" s="4">
        <f>G79*25041806</f>
        <v>357321529814</v>
      </c>
      <c r="I79" s="4">
        <f>G79*161236150</f>
        <v>2300678624350</v>
      </c>
    </row>
    <row r="80" spans="1:9" x14ac:dyDescent="0.35">
      <c r="A80" s="15"/>
      <c r="B80" s="15"/>
      <c r="C80" s="2">
        <v>2022</v>
      </c>
      <c r="D80" s="5">
        <v>665929773113</v>
      </c>
      <c r="E80" s="5">
        <v>2821424805757</v>
      </c>
      <c r="F80" s="6">
        <f t="shared" si="1"/>
        <v>0.23602605738568613</v>
      </c>
      <c r="G80" s="3">
        <v>15731</v>
      </c>
      <c r="H80" s="4">
        <f>G80*42332323</f>
        <v>665929773113</v>
      </c>
      <c r="I80" s="4">
        <f>G80*179354447</f>
        <v>2821424805757</v>
      </c>
    </row>
    <row r="81" spans="1:9" x14ac:dyDescent="0.35">
      <c r="A81" s="15"/>
      <c r="B81" s="15"/>
      <c r="C81" s="2">
        <v>2023</v>
      </c>
      <c r="D81" s="5">
        <v>630370291232</v>
      </c>
      <c r="E81" s="5">
        <v>3142890258688</v>
      </c>
      <c r="F81" s="6">
        <f t="shared" si="1"/>
        <v>0.20057025201228254</v>
      </c>
      <c r="G81" s="3">
        <v>15416</v>
      </c>
      <c r="H81" s="4">
        <f>G81*40890652</f>
        <v>630370291232</v>
      </c>
      <c r="I81" s="4">
        <f>G81*203871968</f>
        <v>3142890258688</v>
      </c>
    </row>
    <row r="82" spans="1:9" x14ac:dyDescent="0.35">
      <c r="A82" s="15">
        <v>17</v>
      </c>
      <c r="B82" s="15" t="s">
        <v>23</v>
      </c>
      <c r="C82" s="2">
        <v>2019</v>
      </c>
      <c r="D82" s="5">
        <v>279724109689</v>
      </c>
      <c r="E82" s="5">
        <v>6123774162554</v>
      </c>
      <c r="F82" s="6">
        <f t="shared" si="1"/>
        <v>4.5678384320485363E-2</v>
      </c>
      <c r="G82" s="3">
        <v>13901</v>
      </c>
      <c r="H82" s="4">
        <f>G82*20122589</f>
        <v>279724109689</v>
      </c>
      <c r="I82" s="4">
        <f>G82*447001954</f>
        <v>6213774162554</v>
      </c>
    </row>
    <row r="83" spans="1:9" x14ac:dyDescent="0.35">
      <c r="A83" s="15"/>
      <c r="B83" s="15"/>
      <c r="C83" s="2">
        <v>2020</v>
      </c>
      <c r="D83" s="5">
        <v>850423103075</v>
      </c>
      <c r="E83" s="5">
        <v>7034194756680</v>
      </c>
      <c r="F83" s="6">
        <f t="shared" si="1"/>
        <v>0.12089843009640848</v>
      </c>
      <c r="G83" s="3">
        <v>14105</v>
      </c>
      <c r="H83" s="4">
        <f>G83*60292315</f>
        <v>850423103075</v>
      </c>
      <c r="I83" s="4">
        <f>G83*498702216</f>
        <v>7034194756680</v>
      </c>
    </row>
    <row r="84" spans="1:9" x14ac:dyDescent="0.35">
      <c r="A84" s="15"/>
      <c r="B84" s="15"/>
      <c r="C84" s="2">
        <v>2021</v>
      </c>
      <c r="D84" s="5">
        <v>1402830103075</v>
      </c>
      <c r="E84" s="5">
        <v>12480489037558</v>
      </c>
      <c r="F84" s="6">
        <f t="shared" si="1"/>
        <v>0.11240185371369753</v>
      </c>
      <c r="G84" s="3">
        <v>14269</v>
      </c>
      <c r="H84" s="4">
        <f>G84*98313145</f>
        <v>1402830266005</v>
      </c>
      <c r="I84" s="4">
        <f>G84*874657582</f>
        <v>12480489037558</v>
      </c>
    </row>
    <row r="85" spans="1:9" x14ac:dyDescent="0.35">
      <c r="A85" s="15"/>
      <c r="B85" s="15"/>
      <c r="C85" s="2">
        <v>2022</v>
      </c>
      <c r="D85" s="5">
        <v>5974196431007</v>
      </c>
      <c r="E85" s="5">
        <v>20116894920736</v>
      </c>
      <c r="F85" s="6">
        <f t="shared" si="1"/>
        <v>0.29697408345305543</v>
      </c>
      <c r="G85" s="3">
        <v>15731</v>
      </c>
      <c r="H85" s="4">
        <f>G85*379772197</f>
        <v>5974196431007</v>
      </c>
      <c r="I85" s="4">
        <f>G85*1278805856</f>
        <v>20116894920736</v>
      </c>
    </row>
    <row r="86" spans="1:9" x14ac:dyDescent="0.35">
      <c r="A86" s="15"/>
      <c r="B86" s="15"/>
      <c r="C86" s="2">
        <v>2023</v>
      </c>
      <c r="D86" s="5">
        <v>3016481278592</v>
      </c>
      <c r="E86" s="5">
        <v>25175980471872</v>
      </c>
      <c r="F86" s="6">
        <f t="shared" si="1"/>
        <v>0.1198158412127059</v>
      </c>
      <c r="G86" s="3">
        <v>15416</v>
      </c>
      <c r="H86" s="4">
        <f>G86*195672112</f>
        <v>3016481278592</v>
      </c>
      <c r="I86" s="4">
        <f>G86*1633107192</f>
        <v>25175980471872</v>
      </c>
    </row>
    <row r="87" spans="1:9" x14ac:dyDescent="0.35">
      <c r="A87" s="15">
        <v>18</v>
      </c>
      <c r="B87" s="15" t="s">
        <v>24</v>
      </c>
      <c r="C87" s="2">
        <v>2019</v>
      </c>
      <c r="D87" s="5">
        <v>490532329857</v>
      </c>
      <c r="E87" s="5">
        <v>2673541644389</v>
      </c>
      <c r="F87" s="6">
        <f t="shared" si="1"/>
        <v>0.18347659962076415</v>
      </c>
      <c r="G87" s="3">
        <v>13901</v>
      </c>
      <c r="H87" s="4">
        <f>G87*35287557</f>
        <v>490532329857</v>
      </c>
      <c r="I87" s="4">
        <f>G87*192327289</f>
        <v>2673541644389</v>
      </c>
    </row>
    <row r="88" spans="1:9" x14ac:dyDescent="0.35">
      <c r="A88" s="15"/>
      <c r="B88" s="15"/>
      <c r="C88" s="2">
        <v>2020</v>
      </c>
      <c r="D88" s="5">
        <v>387428890030</v>
      </c>
      <c r="E88" s="5">
        <v>2566730603710</v>
      </c>
      <c r="F88" s="6">
        <f t="shared" si="1"/>
        <v>0.15094256073076118</v>
      </c>
      <c r="G88" s="3">
        <v>14105</v>
      </c>
      <c r="H88" s="4">
        <f>G88*27467486</f>
        <v>387428890030</v>
      </c>
      <c r="I88" s="4">
        <f>G88*181973102</f>
        <v>2566730603710</v>
      </c>
    </row>
    <row r="89" spans="1:9" x14ac:dyDescent="0.35">
      <c r="A89" s="15"/>
      <c r="B89" s="15"/>
      <c r="C89" s="2">
        <v>2021</v>
      </c>
      <c r="D89" s="5">
        <v>1434981661952</v>
      </c>
      <c r="E89" s="5">
        <v>3691681944091</v>
      </c>
      <c r="F89" s="6">
        <f t="shared" si="1"/>
        <v>0.38870674226117125</v>
      </c>
      <c r="G89" s="3">
        <v>14269</v>
      </c>
      <c r="H89" s="4">
        <f>G89*100566379</f>
        <v>1434981661951</v>
      </c>
      <c r="I89" s="4">
        <f>G89*258720439</f>
        <v>3691681944091</v>
      </c>
    </row>
    <row r="90" spans="1:9" x14ac:dyDescent="0.35">
      <c r="A90" s="15"/>
      <c r="B90" s="15"/>
      <c r="C90" s="2">
        <v>2022</v>
      </c>
      <c r="D90" s="5">
        <v>2822010313577</v>
      </c>
      <c r="E90" s="5">
        <v>4822302985601</v>
      </c>
      <c r="F90" s="6">
        <f t="shared" si="1"/>
        <v>0.58519971101013157</v>
      </c>
      <c r="G90" s="3">
        <v>15731</v>
      </c>
      <c r="H90" s="4">
        <f>G90*179391667</f>
        <v>2822010313577</v>
      </c>
      <c r="I90" s="4">
        <f>G90*306547771</f>
        <v>4822302985601</v>
      </c>
    </row>
    <row r="91" spans="1:9" x14ac:dyDescent="0.35">
      <c r="A91" s="15"/>
      <c r="B91" s="15"/>
      <c r="C91" s="2">
        <v>2023</v>
      </c>
      <c r="D91" s="5">
        <v>334325666632</v>
      </c>
      <c r="E91" s="5">
        <v>3537982020400</v>
      </c>
      <c r="F91" s="6">
        <f t="shared" si="1"/>
        <v>9.4496146307210899E-2</v>
      </c>
      <c r="G91" s="3">
        <v>15416</v>
      </c>
      <c r="H91" s="4">
        <f>G91*21686927</f>
        <v>334325666632</v>
      </c>
      <c r="I91" s="4">
        <f>G91*229500650</f>
        <v>3537982020400</v>
      </c>
    </row>
    <row r="92" spans="1:9" x14ac:dyDescent="0.35">
      <c r="A92" s="15">
        <v>19</v>
      </c>
      <c r="B92" s="15" t="s">
        <v>25</v>
      </c>
      <c r="C92" s="2">
        <v>2019</v>
      </c>
      <c r="D92" s="5">
        <v>928112178157</v>
      </c>
      <c r="E92" s="5">
        <v>10851762367467</v>
      </c>
      <c r="F92" s="6">
        <f t="shared" si="1"/>
        <v>8.5526400848900855E-2</v>
      </c>
      <c r="G92" s="3">
        <v>13901</v>
      </c>
      <c r="H92" s="4">
        <f>G92*66765857</f>
        <v>928112178157</v>
      </c>
      <c r="I92" s="4">
        <f>G92*780646167</f>
        <v>10851762367467</v>
      </c>
    </row>
    <row r="93" spans="1:9" x14ac:dyDescent="0.35">
      <c r="A93" s="15"/>
      <c r="B93" s="15"/>
      <c r="C93" s="2">
        <v>2020</v>
      </c>
      <c r="D93" s="5">
        <v>1352056680065</v>
      </c>
      <c r="E93" s="5">
        <v>11477489075325</v>
      </c>
      <c r="F93" s="6">
        <f t="shared" si="1"/>
        <v>0.1178007377041842</v>
      </c>
      <c r="G93" s="3">
        <v>14105</v>
      </c>
      <c r="H93" s="4">
        <f>G93*95856553</f>
        <v>1352056680065</v>
      </c>
      <c r="I93" s="4">
        <f>G93*813717765</f>
        <v>11477489075325</v>
      </c>
    </row>
    <row r="94" spans="1:9" x14ac:dyDescent="0.35">
      <c r="A94" s="15"/>
      <c r="B94" s="15"/>
      <c r="C94" s="2">
        <v>2021</v>
      </c>
      <c r="D94" s="5">
        <v>5051573735530</v>
      </c>
      <c r="E94" s="5">
        <v>16110939606276</v>
      </c>
      <c r="F94" s="6">
        <f t="shared" si="1"/>
        <v>0.31354929377068513</v>
      </c>
      <c r="G94" s="3">
        <v>14269</v>
      </c>
      <c r="H94" s="4">
        <f>G94*354024370</f>
        <v>5051573735530</v>
      </c>
      <c r="I94" s="4">
        <f>G94*1129086804</f>
        <v>16110939606276</v>
      </c>
    </row>
    <row r="95" spans="1:9" x14ac:dyDescent="0.35">
      <c r="A95" s="15"/>
      <c r="B95" s="15"/>
      <c r="C95" s="2">
        <v>2022</v>
      </c>
      <c r="D95" s="5">
        <v>10947329282854</v>
      </c>
      <c r="E95" s="5">
        <v>13041422745947</v>
      </c>
      <c r="F95" s="6">
        <f t="shared" si="1"/>
        <v>0.83942752996456615</v>
      </c>
      <c r="G95" s="3">
        <v>15731</v>
      </c>
      <c r="H95" s="4">
        <f>G95*695908034</f>
        <v>10947329282854</v>
      </c>
      <c r="I95" s="4">
        <f>G95*829026937</f>
        <v>13041422745947</v>
      </c>
    </row>
    <row r="96" spans="1:9" x14ac:dyDescent="0.35">
      <c r="A96" s="15"/>
      <c r="B96" s="15"/>
      <c r="C96" s="2">
        <v>2023</v>
      </c>
      <c r="D96" s="5">
        <v>8151185519392</v>
      </c>
      <c r="E96" s="5">
        <v>20226443248920</v>
      </c>
      <c r="F96" s="6">
        <f t="shared" si="1"/>
        <v>0.40299648430908563</v>
      </c>
      <c r="G96" s="3">
        <v>15416</v>
      </c>
      <c r="H96" s="4">
        <f>G96*528748412</f>
        <v>8151185519392</v>
      </c>
      <c r="I96" s="4">
        <f>G96*1312042245</f>
        <v>20226443248920</v>
      </c>
    </row>
    <row r="97" spans="1:9" x14ac:dyDescent="0.35">
      <c r="A97" s="15">
        <v>20</v>
      </c>
      <c r="B97" s="15" t="s">
        <v>26</v>
      </c>
      <c r="C97" s="2">
        <v>2019</v>
      </c>
      <c r="D97" s="5">
        <v>6234017119</v>
      </c>
      <c r="E97" s="5">
        <v>871513339763</v>
      </c>
      <c r="F97" s="6">
        <f t="shared" si="1"/>
        <v>7.1530943183213732E-3</v>
      </c>
      <c r="G97" s="3"/>
    </row>
    <row r="98" spans="1:9" x14ac:dyDescent="0.35">
      <c r="A98" s="15"/>
      <c r="B98" s="15"/>
      <c r="C98" s="2">
        <v>2020</v>
      </c>
      <c r="D98" s="5">
        <v>-23386617883</v>
      </c>
      <c r="E98" s="5">
        <v>881786218140</v>
      </c>
      <c r="F98" s="6">
        <f t="shared" si="1"/>
        <v>-2.6521868228254548E-2</v>
      </c>
      <c r="G98" s="3"/>
    </row>
    <row r="99" spans="1:9" x14ac:dyDescent="0.35">
      <c r="A99" s="15"/>
      <c r="B99" s="15"/>
      <c r="C99" s="2">
        <v>2021</v>
      </c>
      <c r="D99" s="5">
        <v>258001970758</v>
      </c>
      <c r="E99" s="5">
        <v>1051640434770</v>
      </c>
      <c r="F99" s="6">
        <f t="shared" si="1"/>
        <v>0.24533287445763396</v>
      </c>
      <c r="G99" s="3"/>
    </row>
    <row r="100" spans="1:9" x14ac:dyDescent="0.35">
      <c r="A100" s="15"/>
      <c r="B100" s="15"/>
      <c r="C100" s="2">
        <v>2022</v>
      </c>
      <c r="D100" s="5">
        <v>402880164172</v>
      </c>
      <c r="E100" s="5">
        <v>1182852785319</v>
      </c>
      <c r="F100" s="6">
        <f t="shared" si="1"/>
        <v>0.3406004273501782</v>
      </c>
      <c r="G100" s="3"/>
    </row>
    <row r="101" spans="1:9" x14ac:dyDescent="0.35">
      <c r="A101" s="15"/>
      <c r="B101" s="15"/>
      <c r="C101" s="2">
        <v>2023</v>
      </c>
      <c r="D101" s="5">
        <v>255974588686</v>
      </c>
      <c r="E101" s="5">
        <v>1007863610900</v>
      </c>
      <c r="F101" s="6">
        <f t="shared" si="1"/>
        <v>0.25397740916295247</v>
      </c>
      <c r="G101" s="3"/>
    </row>
    <row r="102" spans="1:9" x14ac:dyDescent="0.35">
      <c r="A102" s="15">
        <v>21</v>
      </c>
      <c r="B102" s="15" t="s">
        <v>27</v>
      </c>
      <c r="C102" s="2">
        <v>2019</v>
      </c>
      <c r="D102" s="5">
        <v>75264907152</v>
      </c>
      <c r="E102" s="5">
        <v>1756454418837</v>
      </c>
      <c r="F102" s="6">
        <f t="shared" si="1"/>
        <v>4.285047556305794E-2</v>
      </c>
      <c r="G102" s="3">
        <v>13901</v>
      </c>
      <c r="H102" s="4">
        <f>G102*5414352</f>
        <v>75264907152</v>
      </c>
      <c r="I102" s="4">
        <f>G102*126354537</f>
        <v>1756454418837</v>
      </c>
    </row>
    <row r="103" spans="1:9" x14ac:dyDescent="0.35">
      <c r="A103" s="15"/>
      <c r="B103" s="15"/>
      <c r="C103" s="2">
        <v>2020</v>
      </c>
      <c r="D103" s="5">
        <v>-122262351575</v>
      </c>
      <c r="E103" s="5">
        <v>1533048231715</v>
      </c>
      <c r="F103" s="6">
        <f t="shared" si="1"/>
        <v>-7.9751144840516069E-2</v>
      </c>
      <c r="G103" s="3">
        <v>14105</v>
      </c>
      <c r="H103" s="4">
        <f>G103*-8668015</f>
        <v>-122262351575</v>
      </c>
      <c r="I103" s="4">
        <f>G103*108688283</f>
        <v>1533048231715</v>
      </c>
    </row>
    <row r="104" spans="1:9" x14ac:dyDescent="0.35">
      <c r="A104" s="15"/>
      <c r="B104" s="15"/>
      <c r="C104" s="2">
        <v>2021</v>
      </c>
      <c r="D104" s="5">
        <v>328237298255</v>
      </c>
      <c r="E104" s="5">
        <v>1886109338583</v>
      </c>
      <c r="F104" s="6">
        <f t="shared" si="1"/>
        <v>0.17402877528913502</v>
      </c>
      <c r="G104" s="3">
        <v>14269</v>
      </c>
      <c r="H104" s="4">
        <f>G104*23003525</f>
        <v>328237298225</v>
      </c>
      <c r="I104" s="4">
        <f>G104*132182307</f>
        <v>1886109338583</v>
      </c>
    </row>
    <row r="105" spans="1:9" x14ac:dyDescent="0.35">
      <c r="A105" s="15"/>
      <c r="B105" s="15"/>
      <c r="C105" s="2">
        <v>2022</v>
      </c>
      <c r="D105" s="5">
        <v>614388457286</v>
      </c>
      <c r="E105" s="5">
        <v>2677175358390</v>
      </c>
      <c r="F105" s="6">
        <f t="shared" si="1"/>
        <v>0.22949130147958668</v>
      </c>
      <c r="G105" s="3">
        <v>15731</v>
      </c>
      <c r="H105" s="4">
        <f>G105*39055906</f>
        <v>614388457286</v>
      </c>
      <c r="I105" s="4">
        <f>G105*170184690</f>
        <v>2677175358390</v>
      </c>
    </row>
    <row r="106" spans="1:9" x14ac:dyDescent="0.35">
      <c r="A106" s="15"/>
      <c r="B106" s="15"/>
      <c r="C106" s="2">
        <v>2023</v>
      </c>
      <c r="D106" s="5">
        <v>413188280376</v>
      </c>
      <c r="E106" s="5">
        <v>3091470684000</v>
      </c>
      <c r="F106" s="6">
        <f t="shared" si="1"/>
        <v>0.13365427740087216</v>
      </c>
      <c r="G106" s="3">
        <v>15416</v>
      </c>
      <c r="H106" s="4">
        <f>G106*26802561</f>
        <v>413188280376</v>
      </c>
      <c r="I106" s="4">
        <f>G106*200536500</f>
        <v>3091470684000</v>
      </c>
    </row>
    <row r="107" spans="1:9" x14ac:dyDescent="0.35">
      <c r="A107" s="15">
        <v>22</v>
      </c>
      <c r="B107" s="15" t="s">
        <v>28</v>
      </c>
      <c r="C107" s="2">
        <v>2019</v>
      </c>
      <c r="D107" s="5">
        <v>6355022258</v>
      </c>
      <c r="E107" s="5">
        <v>148795491227</v>
      </c>
      <c r="F107" s="6">
        <f t="shared" si="1"/>
        <v>4.2709777061086349E-2</v>
      </c>
      <c r="G107" s="3"/>
    </row>
    <row r="108" spans="1:9" x14ac:dyDescent="0.35">
      <c r="A108" s="15"/>
      <c r="B108" s="15"/>
      <c r="C108" s="2">
        <v>2020</v>
      </c>
      <c r="D108" s="5">
        <v>733052615</v>
      </c>
      <c r="E108" s="5">
        <v>185404119807</v>
      </c>
      <c r="F108" s="6">
        <f t="shared" si="1"/>
        <v>3.9538097414614374E-3</v>
      </c>
      <c r="G108" s="3"/>
    </row>
    <row r="109" spans="1:9" x14ac:dyDescent="0.35">
      <c r="A109" s="15"/>
      <c r="B109" s="15"/>
      <c r="C109" s="2">
        <v>2021</v>
      </c>
      <c r="D109" s="5">
        <v>1845557734</v>
      </c>
      <c r="E109" s="5">
        <v>139180731720</v>
      </c>
      <c r="F109" s="6">
        <f t="shared" si="1"/>
        <v>1.3260152545489146E-2</v>
      </c>
      <c r="G109" s="3"/>
    </row>
    <row r="110" spans="1:9" x14ac:dyDescent="0.35">
      <c r="A110" s="15"/>
      <c r="B110" s="15"/>
      <c r="C110" s="2">
        <v>2022</v>
      </c>
      <c r="D110" s="5">
        <v>6939941628</v>
      </c>
      <c r="E110" s="5">
        <v>257592474057</v>
      </c>
      <c r="F110" s="6">
        <f t="shared" si="1"/>
        <v>2.6941554303579272E-2</v>
      </c>
      <c r="G110" s="3"/>
    </row>
    <row r="111" spans="1:9" x14ac:dyDescent="0.35">
      <c r="A111" s="15"/>
      <c r="B111" s="15"/>
      <c r="C111" s="2">
        <v>2023</v>
      </c>
      <c r="D111" s="5">
        <v>2431270343</v>
      </c>
      <c r="E111" s="5">
        <v>345240596973</v>
      </c>
      <c r="F111" s="6">
        <f t="shared" si="1"/>
        <v>7.0422492728748837E-3</v>
      </c>
      <c r="G111" s="3"/>
    </row>
    <row r="112" spans="1:9" x14ac:dyDescent="0.35">
      <c r="A112" s="15">
        <v>23</v>
      </c>
      <c r="B112" s="15" t="s">
        <v>29</v>
      </c>
      <c r="C112" s="2">
        <v>2019</v>
      </c>
      <c r="D112" s="5">
        <v>9946844577</v>
      </c>
      <c r="E112" s="5">
        <v>568979239113</v>
      </c>
      <c r="F112" s="6">
        <f t="shared" si="1"/>
        <v>1.7481911277653039E-2</v>
      </c>
      <c r="G112" s="3"/>
    </row>
    <row r="113" spans="1:9" x14ac:dyDescent="0.35">
      <c r="A113" s="15"/>
      <c r="B113" s="15"/>
      <c r="C113" s="2">
        <v>2020</v>
      </c>
      <c r="D113" s="5">
        <v>51194844074</v>
      </c>
      <c r="E113" s="5">
        <v>620407533334</v>
      </c>
      <c r="F113" s="6">
        <f t="shared" si="1"/>
        <v>8.251808903558068E-2</v>
      </c>
      <c r="G113" s="3"/>
    </row>
    <row r="114" spans="1:9" x14ac:dyDescent="0.35">
      <c r="A114" s="15"/>
      <c r="B114" s="15"/>
      <c r="C114" s="2">
        <v>2021</v>
      </c>
      <c r="D114" s="5">
        <v>112465300664</v>
      </c>
      <c r="E114" s="5">
        <v>667408015354</v>
      </c>
      <c r="F114" s="6">
        <f t="shared" si="1"/>
        <v>0.16851056336856737</v>
      </c>
      <c r="G114" s="3"/>
    </row>
    <row r="115" spans="1:9" x14ac:dyDescent="0.35">
      <c r="A115" s="15"/>
      <c r="B115" s="15"/>
      <c r="C115" s="2">
        <v>2022</v>
      </c>
      <c r="D115" s="5">
        <v>55922236073</v>
      </c>
      <c r="E115" s="5">
        <v>772666449902</v>
      </c>
      <c r="F115" s="6">
        <f t="shared" si="1"/>
        <v>7.2375649389322921E-2</v>
      </c>
      <c r="G115" s="3"/>
    </row>
    <row r="116" spans="1:9" x14ac:dyDescent="0.35">
      <c r="A116" s="15"/>
      <c r="B116" s="15"/>
      <c r="C116" s="2">
        <v>2023</v>
      </c>
      <c r="D116" s="5">
        <v>79450034686</v>
      </c>
      <c r="E116" s="5">
        <v>689803373589</v>
      </c>
      <c r="F116" s="6">
        <f t="shared" si="1"/>
        <v>0.11517779954108788</v>
      </c>
      <c r="G116" s="3"/>
    </row>
    <row r="117" spans="1:9" x14ac:dyDescent="0.35">
      <c r="A117" s="15">
        <v>24</v>
      </c>
      <c r="B117" s="15" t="s">
        <v>30</v>
      </c>
      <c r="C117" s="2">
        <v>2019</v>
      </c>
      <c r="D117" s="5">
        <v>10539422664</v>
      </c>
      <c r="E117" s="5">
        <v>543257046224</v>
      </c>
      <c r="F117" s="6">
        <f t="shared" si="1"/>
        <v>1.9400434356546391E-2</v>
      </c>
      <c r="G117" s="3"/>
    </row>
    <row r="118" spans="1:9" x14ac:dyDescent="0.35">
      <c r="A118" s="15"/>
      <c r="B118" s="15"/>
      <c r="C118" s="2">
        <v>2020</v>
      </c>
      <c r="D118" s="5">
        <v>13810414740</v>
      </c>
      <c r="E118" s="5">
        <v>505302049812</v>
      </c>
      <c r="F118" s="6">
        <f t="shared" si="1"/>
        <v>2.7331008740491415E-2</v>
      </c>
      <c r="G118" s="3"/>
    </row>
    <row r="119" spans="1:9" x14ac:dyDescent="0.35">
      <c r="A119" s="15"/>
      <c r="B119" s="15"/>
      <c r="C119" s="2">
        <v>2021</v>
      </c>
      <c r="D119" s="5">
        <v>-45893211775</v>
      </c>
      <c r="E119" s="5">
        <v>494252757734</v>
      </c>
      <c r="F119" s="6">
        <f t="shared" si="1"/>
        <v>-9.2853729305237567E-2</v>
      </c>
      <c r="G119" s="3"/>
    </row>
    <row r="120" spans="1:9" x14ac:dyDescent="0.35">
      <c r="A120" s="15"/>
      <c r="B120" s="15"/>
      <c r="C120" s="2">
        <v>2022</v>
      </c>
      <c r="D120" s="5">
        <v>-94702105624</v>
      </c>
      <c r="E120" s="5">
        <v>364324214971</v>
      </c>
      <c r="F120" s="6">
        <f t="shared" si="1"/>
        <v>-0.25993909197481763</v>
      </c>
      <c r="G120" s="3"/>
    </row>
    <row r="121" spans="1:9" x14ac:dyDescent="0.35">
      <c r="A121" s="15"/>
      <c r="B121" s="15"/>
      <c r="C121" s="2">
        <v>2023</v>
      </c>
      <c r="D121" s="5">
        <v>-516235294</v>
      </c>
      <c r="E121" s="5">
        <v>418812724436</v>
      </c>
      <c r="F121" s="6">
        <f t="shared" si="1"/>
        <v>-1.232616068900952E-3</v>
      </c>
      <c r="G121" s="3"/>
    </row>
    <row r="122" spans="1:9" x14ac:dyDescent="0.35">
      <c r="A122" s="15">
        <v>25</v>
      </c>
      <c r="B122" s="15" t="s">
        <v>31</v>
      </c>
      <c r="C122" s="2">
        <v>2019</v>
      </c>
      <c r="D122" s="5">
        <v>151735364628</v>
      </c>
      <c r="E122" s="5">
        <v>1864925242432</v>
      </c>
      <c r="F122" s="6">
        <f t="shared" si="1"/>
        <v>8.1362706223079423E-2</v>
      </c>
      <c r="G122" s="3">
        <v>13901</v>
      </c>
      <c r="H122" s="4">
        <f>G122*10915428</f>
        <v>151735364628</v>
      </c>
      <c r="I122" s="4">
        <f>G122*134157632</f>
        <v>1864925242432</v>
      </c>
    </row>
    <row r="123" spans="1:9" x14ac:dyDescent="0.35">
      <c r="A123" s="15"/>
      <c r="B123" s="15"/>
      <c r="C123" s="2">
        <v>2020</v>
      </c>
      <c r="D123" s="5">
        <v>174913636625</v>
      </c>
      <c r="E123" s="5">
        <v>2259860601635</v>
      </c>
      <c r="F123" s="6">
        <f t="shared" si="1"/>
        <v>7.7400188533067349E-2</v>
      </c>
      <c r="G123" s="3">
        <v>14105</v>
      </c>
      <c r="H123" s="4">
        <f>G123*12400825</f>
        <v>174913636625</v>
      </c>
      <c r="I123" s="4">
        <f>G123*160216987</f>
        <v>2259860601635</v>
      </c>
    </row>
    <row r="124" spans="1:9" x14ac:dyDescent="0.35">
      <c r="A124" s="15"/>
      <c r="B124" s="15"/>
      <c r="C124" s="2">
        <v>2021</v>
      </c>
      <c r="D124" s="5">
        <v>174880978152</v>
      </c>
      <c r="E124" s="5">
        <v>2614005102955</v>
      </c>
      <c r="F124" s="6">
        <f t="shared" si="1"/>
        <v>6.6901544283255579E-2</v>
      </c>
      <c r="G124" s="3">
        <v>14269</v>
      </c>
      <c r="H124" s="4">
        <f>G124*12256008</f>
        <v>174880978152</v>
      </c>
      <c r="I124" s="4">
        <f>G124*183194695</f>
        <v>2614005102955</v>
      </c>
    </row>
    <row r="125" spans="1:9" x14ac:dyDescent="0.35">
      <c r="A125" s="15"/>
      <c r="B125" s="15"/>
      <c r="C125" s="2">
        <v>2022</v>
      </c>
      <c r="D125" s="5">
        <v>480578809414</v>
      </c>
      <c r="E125" s="5">
        <v>3447920218187</v>
      </c>
      <c r="F125" s="6">
        <f t="shared" si="1"/>
        <v>0.1393822301569089</v>
      </c>
      <c r="G125" s="3">
        <v>15731</v>
      </c>
      <c r="H125" s="4">
        <f>G125*30549794</f>
        <v>480578809414</v>
      </c>
      <c r="I125" s="4">
        <f>G125*219179977</f>
        <v>3447920218187</v>
      </c>
    </row>
    <row r="126" spans="1:9" x14ac:dyDescent="0.35">
      <c r="A126" s="15"/>
      <c r="B126" s="15"/>
      <c r="C126" s="2">
        <v>2023</v>
      </c>
      <c r="D126" s="5">
        <v>32174718184</v>
      </c>
      <c r="E126" s="5">
        <v>3494744318136</v>
      </c>
      <c r="F126" s="6">
        <f t="shared" si="1"/>
        <v>9.2066014721102988E-3</v>
      </c>
      <c r="G126" s="3">
        <v>15416</v>
      </c>
      <c r="H126" s="4">
        <f>G126*2087099</f>
        <v>32174718184</v>
      </c>
      <c r="I126" s="4">
        <f>G126*226695921</f>
        <v>3494744318136</v>
      </c>
    </row>
    <row r="127" spans="1:9" x14ac:dyDescent="0.35">
      <c r="A127" s="15">
        <v>26</v>
      </c>
      <c r="B127" s="15" t="s">
        <v>32</v>
      </c>
      <c r="C127" s="2">
        <v>2019</v>
      </c>
      <c r="D127" s="5">
        <v>-118584871472</v>
      </c>
      <c r="E127" s="5">
        <v>881057835296</v>
      </c>
      <c r="F127" s="6">
        <f t="shared" si="1"/>
        <v>-0.13459374256873868</v>
      </c>
      <c r="G127" s="3"/>
    </row>
    <row r="128" spans="1:9" x14ac:dyDescent="0.35">
      <c r="A128" s="15"/>
      <c r="B128" s="15"/>
      <c r="C128" s="2">
        <v>2020</v>
      </c>
      <c r="D128" s="5">
        <v>17666456080</v>
      </c>
      <c r="E128" s="5">
        <v>688953915195</v>
      </c>
      <c r="F128" s="6">
        <f t="shared" si="1"/>
        <v>2.5642435132979431E-2</v>
      </c>
      <c r="G128" s="3"/>
    </row>
    <row r="129" spans="1:9" x14ac:dyDescent="0.35">
      <c r="A129" s="15"/>
      <c r="B129" s="15"/>
      <c r="C129" s="2">
        <v>2021</v>
      </c>
      <c r="D129" s="5">
        <v>211291428025</v>
      </c>
      <c r="E129" s="5">
        <v>608867148125</v>
      </c>
      <c r="F129" s="6">
        <f t="shared" si="1"/>
        <v>0.34702386009110481</v>
      </c>
      <c r="G129" s="3"/>
    </row>
    <row r="130" spans="1:9" x14ac:dyDescent="0.35">
      <c r="A130" s="15"/>
      <c r="B130" s="15"/>
      <c r="C130" s="2">
        <v>2022</v>
      </c>
      <c r="D130" s="5">
        <v>35805383855</v>
      </c>
      <c r="E130" s="5">
        <v>648509542780</v>
      </c>
      <c r="F130" s="6">
        <f t="shared" si="1"/>
        <v>5.5211807217995859E-2</v>
      </c>
      <c r="G130" s="3"/>
    </row>
    <row r="131" spans="1:9" x14ac:dyDescent="0.35">
      <c r="A131" s="15"/>
      <c r="B131" s="15"/>
      <c r="C131" s="2">
        <v>2023</v>
      </c>
      <c r="D131" s="5">
        <v>61512286436</v>
      </c>
      <c r="E131" s="5">
        <v>698659351251</v>
      </c>
      <c r="F131" s="6">
        <f t="shared" ref="F131:F194" si="2">D131/E131</f>
        <v>8.8043316568879829E-2</v>
      </c>
      <c r="G131" s="3"/>
    </row>
    <row r="132" spans="1:9" x14ac:dyDescent="0.35">
      <c r="A132" s="15">
        <v>27</v>
      </c>
      <c r="B132" s="15" t="s">
        <v>33</v>
      </c>
      <c r="C132" s="2">
        <v>2019</v>
      </c>
      <c r="D132" s="5">
        <v>45954573000</v>
      </c>
      <c r="E132" s="5">
        <v>898913890000</v>
      </c>
      <c r="F132" s="6">
        <f t="shared" si="2"/>
        <v>5.1122330527120903E-2</v>
      </c>
      <c r="G132" s="3"/>
      <c r="H132" s="4"/>
      <c r="I132" s="4"/>
    </row>
    <row r="133" spans="1:9" x14ac:dyDescent="0.35">
      <c r="A133" s="15"/>
      <c r="B133" s="15"/>
      <c r="C133" s="2">
        <v>2020</v>
      </c>
      <c r="D133" s="5">
        <v>-2525004000</v>
      </c>
      <c r="E133" s="5">
        <v>834038915000</v>
      </c>
      <c r="F133" s="6">
        <f t="shared" si="2"/>
        <v>-3.0274414713610813E-3</v>
      </c>
      <c r="G133" s="3"/>
      <c r="H133" s="4"/>
      <c r="I133" s="4"/>
    </row>
    <row r="134" spans="1:9" x14ac:dyDescent="0.35">
      <c r="A134" s="15"/>
      <c r="B134" s="15"/>
      <c r="C134" s="2">
        <v>2021</v>
      </c>
      <c r="D134" s="5">
        <v>165614881000</v>
      </c>
      <c r="E134" s="5">
        <v>989060914000</v>
      </c>
      <c r="F134" s="6">
        <f t="shared" si="2"/>
        <v>0.16744659368876849</v>
      </c>
      <c r="G134" s="3"/>
      <c r="H134" s="4"/>
      <c r="I134" s="4"/>
    </row>
    <row r="135" spans="1:9" x14ac:dyDescent="0.35">
      <c r="A135" s="15"/>
      <c r="B135" s="15"/>
      <c r="C135" s="2">
        <v>2022</v>
      </c>
      <c r="D135" s="5">
        <v>327890339000</v>
      </c>
      <c r="E135" s="5">
        <v>1302505387000</v>
      </c>
      <c r="F135" s="6">
        <f t="shared" si="2"/>
        <v>0.25173818263831871</v>
      </c>
      <c r="G135" s="3"/>
    </row>
    <row r="136" spans="1:9" x14ac:dyDescent="0.35">
      <c r="A136" s="15"/>
      <c r="B136" s="15"/>
      <c r="C136" s="2">
        <v>2023</v>
      </c>
      <c r="D136" s="5">
        <v>221711596000</v>
      </c>
      <c r="E136" s="5">
        <v>1150900654000</v>
      </c>
      <c r="F136" s="6">
        <f t="shared" si="2"/>
        <v>0.19264181945629513</v>
      </c>
      <c r="G136" s="3"/>
    </row>
    <row r="137" spans="1:9" x14ac:dyDescent="0.35">
      <c r="A137" s="15">
        <v>28</v>
      </c>
      <c r="B137" s="15" t="s">
        <v>34</v>
      </c>
      <c r="C137" s="2">
        <v>2019</v>
      </c>
      <c r="D137" s="5">
        <v>114533800349</v>
      </c>
      <c r="E137" s="5">
        <v>1551849033384</v>
      </c>
      <c r="F137" s="6">
        <f t="shared" si="2"/>
        <v>7.3804730927495441E-2</v>
      </c>
      <c r="G137" s="3">
        <v>13901</v>
      </c>
      <c r="H137" s="4">
        <f>G137*8239249</f>
        <v>114533800349</v>
      </c>
      <c r="I137" s="4">
        <f>G137*111635784</f>
        <v>1551849033384</v>
      </c>
    </row>
    <row r="138" spans="1:9" x14ac:dyDescent="0.35">
      <c r="A138" s="15"/>
      <c r="B138" s="15"/>
      <c r="C138" s="2">
        <v>2020</v>
      </c>
      <c r="D138" s="5">
        <v>29410208555</v>
      </c>
      <c r="E138" s="5">
        <v>1463552671035</v>
      </c>
      <c r="F138" s="6">
        <f t="shared" si="2"/>
        <v>2.009508037329575E-2</v>
      </c>
      <c r="G138" s="3">
        <v>14105</v>
      </c>
      <c r="H138" s="4">
        <f>G138*2085091</f>
        <v>29410208555</v>
      </c>
      <c r="I138" s="4">
        <f>G138*103761267</f>
        <v>1463552671035</v>
      </c>
    </row>
    <row r="139" spans="1:9" x14ac:dyDescent="0.35">
      <c r="A139" s="15"/>
      <c r="B139" s="15"/>
      <c r="C139" s="2">
        <v>2021</v>
      </c>
      <c r="D139" s="5">
        <v>56495537080</v>
      </c>
      <c r="E139" s="5">
        <v>1416289286220</v>
      </c>
      <c r="F139" s="6">
        <f t="shared" si="2"/>
        <v>3.9889828744509928E-2</v>
      </c>
      <c r="G139" s="3">
        <v>14269</v>
      </c>
      <c r="H139" s="4">
        <f>G139*3959320</f>
        <v>56495537080</v>
      </c>
      <c r="I139" s="4">
        <f>G139*99256380</f>
        <v>1416289286220</v>
      </c>
    </row>
    <row r="140" spans="1:9" x14ac:dyDescent="0.35">
      <c r="A140" s="15"/>
      <c r="B140" s="15"/>
      <c r="C140" s="2">
        <v>2022</v>
      </c>
      <c r="D140" s="5">
        <v>224892940153</v>
      </c>
      <c r="E140" s="5">
        <v>1689220641764</v>
      </c>
      <c r="F140" s="6">
        <f t="shared" si="2"/>
        <v>0.13313414162293882</v>
      </c>
      <c r="G140" s="3">
        <v>15731</v>
      </c>
      <c r="H140" s="4">
        <f>G140*14296163</f>
        <v>224892940153</v>
      </c>
      <c r="I140" s="4">
        <f>G140*107381644</f>
        <v>1689220641764</v>
      </c>
    </row>
    <row r="141" spans="1:9" x14ac:dyDescent="0.35">
      <c r="A141" s="15"/>
      <c r="B141" s="15"/>
      <c r="C141" s="2">
        <v>2023</v>
      </c>
      <c r="D141" s="5">
        <v>303630036568</v>
      </c>
      <c r="E141" s="5">
        <v>1809944816648</v>
      </c>
      <c r="F141" s="6">
        <f t="shared" si="2"/>
        <v>0.1677565159861171</v>
      </c>
      <c r="G141" s="3">
        <v>15416</v>
      </c>
      <c r="H141" s="4">
        <f>G141*19695773</f>
        <v>303630036568</v>
      </c>
      <c r="I141" s="4">
        <f>G141*117406903</f>
        <v>1809944816648</v>
      </c>
    </row>
    <row r="142" spans="1:9" x14ac:dyDescent="0.35">
      <c r="A142" s="15">
        <v>29</v>
      </c>
      <c r="B142" s="15" t="s">
        <v>35</v>
      </c>
      <c r="C142" s="2">
        <v>2019</v>
      </c>
      <c r="D142" s="5">
        <v>-41489168000</v>
      </c>
      <c r="E142" s="5">
        <v>71655559000</v>
      </c>
      <c r="F142" s="6">
        <f t="shared" si="2"/>
        <v>-0.57900836416613544</v>
      </c>
      <c r="G142" s="3"/>
    </row>
    <row r="143" spans="1:9" x14ac:dyDescent="0.35">
      <c r="A143" s="15"/>
      <c r="B143" s="15"/>
      <c r="C143" s="2">
        <v>2020</v>
      </c>
      <c r="D143" s="5">
        <v>-25803000</v>
      </c>
      <c r="E143" s="5">
        <v>68655724000</v>
      </c>
      <c r="F143" s="6">
        <f t="shared" si="2"/>
        <v>-3.7583173691388064E-4</v>
      </c>
      <c r="G143" s="3"/>
    </row>
    <row r="144" spans="1:9" x14ac:dyDescent="0.35">
      <c r="A144" s="15"/>
      <c r="B144" s="15"/>
      <c r="C144" s="2">
        <v>2021</v>
      </c>
      <c r="D144" s="5">
        <v>-877779000</v>
      </c>
      <c r="E144" s="5">
        <v>64597186000</v>
      </c>
      <c r="F144" s="6">
        <f t="shared" si="2"/>
        <v>-1.3588502136919711E-2</v>
      </c>
      <c r="G144" s="3"/>
    </row>
    <row r="145" spans="1:9" x14ac:dyDescent="0.35">
      <c r="A145" s="15"/>
      <c r="B145" s="15"/>
      <c r="C145" s="2">
        <v>2022</v>
      </c>
      <c r="D145" s="5">
        <v>-29411413000</v>
      </c>
      <c r="E145" s="5">
        <v>716311167000</v>
      </c>
      <c r="F145" s="6">
        <f t="shared" si="2"/>
        <v>-4.1059548356866538E-2</v>
      </c>
      <c r="G145" s="3"/>
    </row>
    <row r="146" spans="1:9" x14ac:dyDescent="0.35">
      <c r="A146" s="15"/>
      <c r="B146" s="15"/>
      <c r="C146" s="2">
        <v>2023</v>
      </c>
      <c r="D146" s="5">
        <v>-6112692000</v>
      </c>
      <c r="E146" s="5">
        <v>251200338000</v>
      </c>
      <c r="F146" s="6">
        <f t="shared" si="2"/>
        <v>-2.43339322258396E-2</v>
      </c>
      <c r="G146" s="3"/>
    </row>
    <row r="147" spans="1:9" x14ac:dyDescent="0.35">
      <c r="A147" s="15">
        <v>30</v>
      </c>
      <c r="B147" s="15" t="s">
        <v>36</v>
      </c>
      <c r="C147" s="2">
        <v>2019</v>
      </c>
      <c r="D147" s="5">
        <v>129955361234</v>
      </c>
      <c r="E147" s="5">
        <v>9566887696790</v>
      </c>
      <c r="F147" s="6">
        <f t="shared" si="2"/>
        <v>1.3583870256740259E-2</v>
      </c>
      <c r="G147" s="3">
        <v>13901</v>
      </c>
      <c r="H147" s="4">
        <f>G147*9348634</f>
        <v>129955361234</v>
      </c>
      <c r="I147" s="4">
        <f>G147*688215790</f>
        <v>9566887696790</v>
      </c>
    </row>
    <row r="148" spans="1:9" x14ac:dyDescent="0.35">
      <c r="A148" s="15"/>
      <c r="B148" s="15"/>
      <c r="C148" s="2">
        <v>2020</v>
      </c>
      <c r="D148" s="5">
        <v>384766938010</v>
      </c>
      <c r="E148" s="5">
        <v>9303337619030</v>
      </c>
      <c r="F148" s="6">
        <f t="shared" si="2"/>
        <v>4.1357946337770034E-2</v>
      </c>
      <c r="G148" s="3">
        <v>14105</v>
      </c>
      <c r="H148" s="4">
        <f>G148*27278762</f>
        <v>384766938010</v>
      </c>
      <c r="I148" s="4">
        <f>G148*659577286</f>
        <v>9303337619030</v>
      </c>
    </row>
    <row r="149" spans="1:9" x14ac:dyDescent="0.35">
      <c r="A149" s="15"/>
      <c r="B149" s="15"/>
      <c r="C149" s="2">
        <v>2021</v>
      </c>
      <c r="D149" s="5">
        <v>77514587413</v>
      </c>
      <c r="E149" s="5">
        <v>8978197618421</v>
      </c>
      <c r="F149" s="6">
        <f t="shared" si="2"/>
        <v>8.6336468306243992E-3</v>
      </c>
      <c r="G149" s="3">
        <v>14269</v>
      </c>
      <c r="H149" s="4">
        <f>G149*5432377</f>
        <v>77514587413</v>
      </c>
      <c r="I149" s="4">
        <f>G149*629210009</f>
        <v>8978197618421</v>
      </c>
    </row>
    <row r="150" spans="1:9" x14ac:dyDescent="0.35">
      <c r="A150" s="15"/>
      <c r="B150" s="15"/>
      <c r="C150" s="2">
        <v>2022</v>
      </c>
      <c r="D150" s="5">
        <v>101928149295</v>
      </c>
      <c r="E150" s="5">
        <v>9972823926257</v>
      </c>
      <c r="F150" s="6">
        <f t="shared" si="2"/>
        <v>1.0220590481562394E-2</v>
      </c>
      <c r="G150" s="3">
        <v>15731</v>
      </c>
      <c r="H150" s="4">
        <f>G150*6479445</f>
        <v>101928149295</v>
      </c>
      <c r="I150" s="4">
        <f>G150*633959947</f>
        <v>9972823926257</v>
      </c>
    </row>
    <row r="151" spans="1:9" x14ac:dyDescent="0.35">
      <c r="A151" s="15"/>
      <c r="B151" s="15"/>
      <c r="C151" s="2">
        <v>2023</v>
      </c>
      <c r="D151" s="5">
        <v>137683225040</v>
      </c>
      <c r="E151" s="5">
        <v>9315943758040</v>
      </c>
      <c r="F151" s="6">
        <f t="shared" si="2"/>
        <v>1.4779310461291089E-2</v>
      </c>
      <c r="G151" s="3">
        <v>15416</v>
      </c>
      <c r="H151" s="4">
        <f>G151*8931190</f>
        <v>137683225040</v>
      </c>
      <c r="I151" s="4">
        <f>G151*604303565</f>
        <v>9315943758040</v>
      </c>
    </row>
    <row r="152" spans="1:9" x14ac:dyDescent="0.35">
      <c r="A152" s="15">
        <v>31</v>
      </c>
      <c r="B152" s="15" t="s">
        <v>37</v>
      </c>
      <c r="C152" s="2">
        <v>2019</v>
      </c>
      <c r="D152" s="5">
        <v>269489000000</v>
      </c>
      <c r="E152" s="5">
        <v>3077535000000</v>
      </c>
      <c r="F152" s="6">
        <f t="shared" si="2"/>
        <v>8.7566510210281931E-2</v>
      </c>
      <c r="G152" s="3"/>
    </row>
    <row r="153" spans="1:9" x14ac:dyDescent="0.35">
      <c r="A153" s="15"/>
      <c r="B153" s="15"/>
      <c r="C153" s="2">
        <v>2020</v>
      </c>
      <c r="D153" s="5">
        <v>57730000000</v>
      </c>
      <c r="E153" s="5">
        <v>2752211000000</v>
      </c>
      <c r="F153" s="6">
        <f t="shared" si="2"/>
        <v>2.0975862679133251E-2</v>
      </c>
      <c r="G153" s="3"/>
    </row>
    <row r="154" spans="1:9" x14ac:dyDescent="0.35">
      <c r="A154" s="15"/>
      <c r="B154" s="15"/>
      <c r="C154" s="2">
        <v>2021</v>
      </c>
      <c r="D154" s="5">
        <v>84578000000</v>
      </c>
      <c r="E154" s="5">
        <v>2847296000000</v>
      </c>
      <c r="F154" s="6">
        <f t="shared" si="2"/>
        <v>2.9704674189125403E-2</v>
      </c>
      <c r="G154" s="3"/>
    </row>
    <row r="155" spans="1:9" x14ac:dyDescent="0.35">
      <c r="A155" s="15"/>
      <c r="B155" s="15"/>
      <c r="C155" s="2">
        <v>2022</v>
      </c>
      <c r="D155" s="5">
        <v>115667000000</v>
      </c>
      <c r="E155" s="5">
        <v>2809667000000</v>
      </c>
      <c r="F155" s="6">
        <f t="shared" si="2"/>
        <v>4.1167512021887294E-2</v>
      </c>
      <c r="G155" s="3"/>
    </row>
    <row r="156" spans="1:9" x14ac:dyDescent="0.35">
      <c r="A156" s="15"/>
      <c r="B156" s="15"/>
      <c r="C156" s="2">
        <v>2023</v>
      </c>
      <c r="D156" s="5">
        <v>188678000000</v>
      </c>
      <c r="E156" s="5">
        <v>2847296000000</v>
      </c>
      <c r="F156" s="6">
        <f t="shared" si="2"/>
        <v>6.6265678032772141E-2</v>
      </c>
      <c r="G156" s="3"/>
    </row>
    <row r="157" spans="1:9" x14ac:dyDescent="0.35">
      <c r="A157" s="15">
        <v>32</v>
      </c>
      <c r="B157" s="15" t="s">
        <v>38</v>
      </c>
      <c r="C157" s="2">
        <v>2019</v>
      </c>
      <c r="D157" s="5">
        <v>88096225202</v>
      </c>
      <c r="E157" s="5">
        <v>2508297621585</v>
      </c>
      <c r="F157" s="6">
        <f t="shared" si="2"/>
        <v>3.5121918724434209E-2</v>
      </c>
      <c r="G157" s="3">
        <v>13901</v>
      </c>
      <c r="H157" s="4">
        <f>G157*6337402</f>
        <v>88096225202</v>
      </c>
      <c r="I157" s="4">
        <f>G157*180440085</f>
        <v>2508297621585</v>
      </c>
    </row>
    <row r="158" spans="1:9" x14ac:dyDescent="0.35">
      <c r="A158" s="15"/>
      <c r="B158" s="15"/>
      <c r="C158" s="2">
        <v>2020</v>
      </c>
      <c r="D158" s="5">
        <v>35593740365</v>
      </c>
      <c r="E158" s="5">
        <v>2350514155990</v>
      </c>
      <c r="F158" s="6">
        <f t="shared" si="2"/>
        <v>1.5142959370950256E-2</v>
      </c>
      <c r="G158" s="3">
        <v>14105</v>
      </c>
      <c r="H158" s="4">
        <f>G158*2523413</f>
        <v>35592740365</v>
      </c>
      <c r="I158" s="4">
        <f>G158*166644038</f>
        <v>2350514155990</v>
      </c>
    </row>
    <row r="159" spans="1:9" x14ac:dyDescent="0.35">
      <c r="A159" s="15"/>
      <c r="B159" s="15"/>
      <c r="C159" s="2">
        <v>2021</v>
      </c>
      <c r="D159" s="5">
        <v>48467954639</v>
      </c>
      <c r="E159" s="5">
        <v>3504268802888</v>
      </c>
      <c r="F159" s="6">
        <f t="shared" si="2"/>
        <v>1.3831117806675028E-2</v>
      </c>
      <c r="G159" s="3">
        <v>14269</v>
      </c>
      <c r="H159" s="4">
        <f>G159*3396731</f>
        <v>48467954639</v>
      </c>
      <c r="I159" s="4">
        <f>G159*245586152</f>
        <v>3504268802888</v>
      </c>
    </row>
    <row r="160" spans="1:9" x14ac:dyDescent="0.35">
      <c r="A160" s="15"/>
      <c r="B160" s="15"/>
      <c r="C160" s="2">
        <v>2022</v>
      </c>
      <c r="D160" s="5">
        <v>170513704733</v>
      </c>
      <c r="E160" s="5">
        <v>4097997469325</v>
      </c>
      <c r="F160" s="6">
        <f t="shared" si="2"/>
        <v>4.1609031242541519E-2</v>
      </c>
      <c r="G160" s="3">
        <v>15731</v>
      </c>
      <c r="H160" s="4">
        <f>G160*10839343</f>
        <v>170513704733</v>
      </c>
      <c r="I160" s="4">
        <f>G160*260504575</f>
        <v>4097997469325</v>
      </c>
    </row>
    <row r="161" spans="1:9" x14ac:dyDescent="0.35">
      <c r="A161" s="15"/>
      <c r="B161" s="15"/>
      <c r="C161" s="2">
        <v>2023</v>
      </c>
      <c r="D161" s="5">
        <v>418536383680</v>
      </c>
      <c r="E161" s="5">
        <v>5066439541248</v>
      </c>
      <c r="F161" s="6">
        <f t="shared" si="2"/>
        <v>8.2609568370947795E-2</v>
      </c>
      <c r="G161" s="3">
        <v>15416</v>
      </c>
      <c r="H161" s="4">
        <f>G161*27149480</f>
        <v>418536383680</v>
      </c>
      <c r="I161" s="4">
        <f>G161*328648128</f>
        <v>5066439541248</v>
      </c>
    </row>
    <row r="162" spans="1:9" x14ac:dyDescent="0.35">
      <c r="A162" s="15">
        <v>33</v>
      </c>
      <c r="B162" s="15" t="s">
        <v>39</v>
      </c>
      <c r="C162" s="2">
        <v>2019</v>
      </c>
      <c r="D162" s="5">
        <v>271445146723</v>
      </c>
      <c r="E162" s="5">
        <v>3333793410099</v>
      </c>
      <c r="F162" s="6">
        <f t="shared" si="2"/>
        <v>8.1422305863559558E-2</v>
      </c>
      <c r="G162" s="3">
        <v>13901</v>
      </c>
      <c r="H162" s="4">
        <f>G162*19527023</f>
        <v>271445146723</v>
      </c>
      <c r="I162" s="4">
        <f>G162*239823999</f>
        <v>3333793410099</v>
      </c>
    </row>
    <row r="163" spans="1:9" x14ac:dyDescent="0.35">
      <c r="A163" s="15"/>
      <c r="B163" s="15"/>
      <c r="C163" s="2">
        <v>2020</v>
      </c>
      <c r="D163" s="5">
        <v>322236652010</v>
      </c>
      <c r="E163" s="5">
        <v>4154823696660</v>
      </c>
      <c r="F163" s="6">
        <f t="shared" si="2"/>
        <v>7.7557238414000862E-2</v>
      </c>
      <c r="G163" s="3">
        <v>14105</v>
      </c>
      <c r="H163" s="4">
        <f>G163*22845562</f>
        <v>322236652010</v>
      </c>
      <c r="I163" s="4">
        <f>G163*294563892</f>
        <v>4154823696660</v>
      </c>
    </row>
    <row r="164" spans="1:9" x14ac:dyDescent="0.35">
      <c r="A164" s="15"/>
      <c r="B164" s="15"/>
      <c r="C164" s="2">
        <v>2021</v>
      </c>
      <c r="D164" s="5">
        <v>295405042675</v>
      </c>
      <c r="E164" s="5">
        <v>4644079062770</v>
      </c>
      <c r="F164" s="6">
        <f t="shared" si="2"/>
        <v>6.3608960717995003E-2</v>
      </c>
      <c r="G164" s="3">
        <v>14269</v>
      </c>
      <c r="H164" s="4">
        <f>G164*20702575</f>
        <v>295405042675</v>
      </c>
      <c r="I164" s="4">
        <f>G164*325466330</f>
        <v>4644079062770</v>
      </c>
    </row>
    <row r="165" spans="1:9" x14ac:dyDescent="0.35">
      <c r="A165" s="15"/>
      <c r="B165" s="15"/>
      <c r="C165" s="2">
        <v>2022</v>
      </c>
      <c r="D165" s="5">
        <v>410882393680</v>
      </c>
      <c r="E165" s="5">
        <v>5966854301377</v>
      </c>
      <c r="F165" s="6">
        <f t="shared" si="2"/>
        <v>6.8860805531178917E-2</v>
      </c>
      <c r="G165" s="3">
        <v>15731</v>
      </c>
      <c r="H165" s="4">
        <f>G165*26119280</f>
        <v>410882393680</v>
      </c>
      <c r="I165" s="4">
        <f>G165*379305467</f>
        <v>5966854301377</v>
      </c>
    </row>
    <row r="166" spans="1:9" x14ac:dyDescent="0.35">
      <c r="A166" s="15"/>
      <c r="B166" s="15"/>
      <c r="C166" s="2">
        <v>2023</v>
      </c>
      <c r="D166" s="5">
        <v>397169561024</v>
      </c>
      <c r="E166" s="5">
        <v>6662495420464</v>
      </c>
      <c r="F166" s="6">
        <f t="shared" si="2"/>
        <v>5.9612733061562041E-2</v>
      </c>
      <c r="G166" s="3">
        <v>15416</v>
      </c>
      <c r="H166" s="4">
        <f>G166*25763464</f>
        <v>397169561024</v>
      </c>
      <c r="I166" s="4">
        <f>G166*432180554</f>
        <v>6662495420464</v>
      </c>
    </row>
    <row r="167" spans="1:9" x14ac:dyDescent="0.35">
      <c r="A167" s="15">
        <v>34</v>
      </c>
      <c r="B167" s="15" t="s">
        <v>40</v>
      </c>
      <c r="C167" s="2">
        <v>2019</v>
      </c>
      <c r="D167" s="5">
        <v>294899539468</v>
      </c>
      <c r="E167" s="5">
        <v>7657438371517</v>
      </c>
      <c r="F167" s="6">
        <f t="shared" si="2"/>
        <v>3.8511513271190456E-2</v>
      </c>
      <c r="G167" s="3">
        <v>13901</v>
      </c>
      <c r="H167" s="4">
        <f>G167*21214268</f>
        <v>294899539468</v>
      </c>
      <c r="I167" s="4">
        <f>G167*550855217</f>
        <v>7657438371517</v>
      </c>
    </row>
    <row r="168" spans="1:9" x14ac:dyDescent="0.35">
      <c r="A168" s="15"/>
      <c r="B168" s="15"/>
      <c r="C168" s="2">
        <v>2020</v>
      </c>
      <c r="D168" s="5">
        <v>532632911265</v>
      </c>
      <c r="E168" s="5">
        <v>11679006589705</v>
      </c>
      <c r="F168" s="6">
        <f t="shared" si="2"/>
        <v>4.5606011707752088E-2</v>
      </c>
      <c r="G168" s="3">
        <v>14105</v>
      </c>
      <c r="H168" s="4">
        <f>G168*37761993</f>
        <v>532632911265</v>
      </c>
      <c r="I168" s="4">
        <f>G168*828004721</f>
        <v>11679006589705</v>
      </c>
    </row>
    <row r="169" spans="1:9" x14ac:dyDescent="0.35">
      <c r="A169" s="15"/>
      <c r="B169" s="15"/>
      <c r="C169" s="2">
        <v>2021</v>
      </c>
      <c r="D169" s="5">
        <v>-3294981855445</v>
      </c>
      <c r="E169" s="5">
        <v>8589201405682</v>
      </c>
      <c r="F169" s="6">
        <f t="shared" si="2"/>
        <v>-0.38361911658810049</v>
      </c>
      <c r="G169" s="3">
        <v>14269</v>
      </c>
      <c r="H169" s="4">
        <f>-G169*230918905</f>
        <v>-3294981855445</v>
      </c>
      <c r="I169" s="4">
        <f>G169*601948378</f>
        <v>8589201405682</v>
      </c>
    </row>
    <row r="170" spans="1:9" x14ac:dyDescent="0.35">
      <c r="A170" s="15"/>
      <c r="B170" s="15"/>
      <c r="C170" s="2">
        <v>2022</v>
      </c>
      <c r="D170" s="5">
        <v>-682478108680</v>
      </c>
      <c r="E170" s="5">
        <v>5939639293833</v>
      </c>
      <c r="F170" s="6">
        <f t="shared" si="2"/>
        <v>-0.11490228192621096</v>
      </c>
      <c r="G170" s="3">
        <v>15731</v>
      </c>
      <c r="H170" s="3">
        <f>-G170*43384280</f>
        <v>-682478108680</v>
      </c>
      <c r="I170" s="4">
        <f>G170*377575443</f>
        <v>5939639293833</v>
      </c>
    </row>
    <row r="171" spans="1:9" x14ac:dyDescent="0.35">
      <c r="A171" s="15"/>
      <c r="B171" s="15"/>
      <c r="C171" s="2">
        <v>2023</v>
      </c>
      <c r="D171" s="5">
        <v>429328416144</v>
      </c>
      <c r="E171" s="5">
        <v>5771808132920</v>
      </c>
      <c r="F171" s="6">
        <f t="shared" si="2"/>
        <v>7.4383695066939037E-2</v>
      </c>
      <c r="G171" s="3">
        <v>15416</v>
      </c>
      <c r="H171" s="4">
        <f>G171*27849534</f>
        <v>429328416144</v>
      </c>
      <c r="I171" s="4">
        <f>G171*374403745</f>
        <v>5771808132920</v>
      </c>
    </row>
    <row r="172" spans="1:9" x14ac:dyDescent="0.35">
      <c r="A172" s="15">
        <v>35</v>
      </c>
      <c r="B172" s="15" t="s">
        <v>41</v>
      </c>
      <c r="C172" s="2">
        <v>2019</v>
      </c>
      <c r="D172" s="5">
        <v>608108975700</v>
      </c>
      <c r="E172" s="5">
        <v>8822136978856</v>
      </c>
      <c r="F172" s="6">
        <f t="shared" si="2"/>
        <v>6.8929895008143005E-2</v>
      </c>
      <c r="G172" s="3">
        <v>13901</v>
      </c>
      <c r="H172" s="4">
        <f>G172*43745700</f>
        <v>608108975700</v>
      </c>
      <c r="I172" s="4">
        <f>G172*634640456</f>
        <v>8822136978856</v>
      </c>
    </row>
    <row r="173" spans="1:9" x14ac:dyDescent="0.35">
      <c r="A173" s="15"/>
      <c r="B173" s="15"/>
      <c r="C173" s="2">
        <v>2020</v>
      </c>
      <c r="D173" s="5">
        <v>505013529930</v>
      </c>
      <c r="E173" s="5">
        <v>10887251555635</v>
      </c>
      <c r="F173" s="6">
        <f t="shared" si="2"/>
        <v>4.6385768469602066E-2</v>
      </c>
      <c r="G173" s="3">
        <v>14105</v>
      </c>
      <c r="H173" s="4">
        <f>G173*35803866</f>
        <v>505013529930</v>
      </c>
      <c r="I173" s="4">
        <f>G173*771871787</f>
        <v>10887251555635</v>
      </c>
    </row>
    <row r="174" spans="1:9" x14ac:dyDescent="0.35">
      <c r="A174" s="15"/>
      <c r="B174" s="15"/>
      <c r="C174" s="2">
        <v>2021</v>
      </c>
      <c r="D174" s="5">
        <v>936152090483</v>
      </c>
      <c r="E174" s="5">
        <v>12244255782796</v>
      </c>
      <c r="F174" s="6">
        <f t="shared" si="2"/>
        <v>7.6456430434780398E-2</v>
      </c>
      <c r="G174" s="3">
        <v>14269</v>
      </c>
      <c r="H174" s="4">
        <f>G174*65607407</f>
        <v>936152090483</v>
      </c>
      <c r="I174" s="4">
        <f>G174*858101884</f>
        <v>12244255782796</v>
      </c>
    </row>
    <row r="175" spans="1:9" x14ac:dyDescent="0.35">
      <c r="A175" s="15"/>
      <c r="B175" s="15"/>
      <c r="C175" s="2">
        <v>2022</v>
      </c>
      <c r="D175" s="5">
        <v>1476910503774</v>
      </c>
      <c r="E175" s="5">
        <v>14147353261167</v>
      </c>
      <c r="F175" s="6">
        <f t="shared" si="2"/>
        <v>0.10439482753484104</v>
      </c>
      <c r="G175" s="3">
        <v>15731</v>
      </c>
      <c r="H175" s="4">
        <f>G175*93885354</f>
        <v>1476910503774</v>
      </c>
      <c r="I175" s="4">
        <f>G175*899329557</f>
        <v>14147353261167</v>
      </c>
    </row>
    <row r="176" spans="1:9" x14ac:dyDescent="0.35">
      <c r="A176" s="15"/>
      <c r="B176" s="15"/>
      <c r="C176" s="2">
        <v>2023</v>
      </c>
      <c r="D176" s="5">
        <v>321366098320</v>
      </c>
      <c r="E176" s="5">
        <v>14611866414848</v>
      </c>
      <c r="F176" s="6">
        <f t="shared" si="2"/>
        <v>2.1993500980370343E-2</v>
      </c>
      <c r="G176" s="3">
        <v>15416</v>
      </c>
      <c r="H176" s="4">
        <f>G176*20846270</f>
        <v>321366098320</v>
      </c>
      <c r="I176" s="4">
        <f>G176*947837728</f>
        <v>14611866414848</v>
      </c>
    </row>
    <row r="177" spans="1:9" x14ac:dyDescent="0.35">
      <c r="A177" s="15">
        <v>36</v>
      </c>
      <c r="B177" s="15" t="s">
        <v>42</v>
      </c>
      <c r="C177" s="2">
        <v>2019</v>
      </c>
      <c r="D177" s="5">
        <v>282973301627</v>
      </c>
      <c r="E177" s="5">
        <v>6960595587349</v>
      </c>
      <c r="F177" s="6">
        <f t="shared" si="2"/>
        <v>4.0653604720450758E-2</v>
      </c>
      <c r="G177" s="7">
        <v>13901</v>
      </c>
      <c r="H177" s="4">
        <f>G177*20356327</f>
        <v>282973301627</v>
      </c>
      <c r="I177" s="4">
        <f>G177*500726249</f>
        <v>6960595587349</v>
      </c>
    </row>
    <row r="178" spans="1:9" x14ac:dyDescent="0.35">
      <c r="A178" s="15"/>
      <c r="B178" s="15"/>
      <c r="C178" s="2">
        <v>2020</v>
      </c>
      <c r="D178" s="5">
        <v>627806525710</v>
      </c>
      <c r="E178" s="5">
        <v>4742968640865</v>
      </c>
      <c r="F178" s="6">
        <f t="shared" si="2"/>
        <v>0.1323657340470005</v>
      </c>
      <c r="G178" s="7">
        <v>14105</v>
      </c>
      <c r="H178" s="4">
        <f>G178*44509502</f>
        <v>627806525710</v>
      </c>
      <c r="I178" s="4">
        <f>G178*336261513</f>
        <v>4742968640865</v>
      </c>
    </row>
    <row r="179" spans="1:9" x14ac:dyDescent="0.35">
      <c r="A179" s="15"/>
      <c r="B179" s="15"/>
      <c r="C179" s="2">
        <v>2021</v>
      </c>
      <c r="D179" s="5">
        <v>52174413003</v>
      </c>
      <c r="E179" s="5">
        <v>5104734107895</v>
      </c>
      <c r="F179" s="6">
        <f t="shared" si="2"/>
        <v>1.0220789545591977E-2</v>
      </c>
      <c r="G179" s="7">
        <v>14269</v>
      </c>
      <c r="H179" s="4">
        <f>G179*3656487</f>
        <v>52174413003</v>
      </c>
      <c r="I179" s="4">
        <f>G179*357749955</f>
        <v>5104734107895</v>
      </c>
    </row>
    <row r="180" spans="1:9" x14ac:dyDescent="0.35">
      <c r="A180" s="15"/>
      <c r="B180" s="15"/>
      <c r="C180" s="2">
        <v>2022</v>
      </c>
      <c r="D180" s="5">
        <v>-1018429879534</v>
      </c>
      <c r="E180" s="5">
        <v>4136730542028</v>
      </c>
      <c r="F180" s="6">
        <f t="shared" si="2"/>
        <v>-0.24619197919396574</v>
      </c>
      <c r="G180" s="7">
        <v>15731</v>
      </c>
      <c r="H180" s="4">
        <f>-G180*64740314</f>
        <v>-1018429879534</v>
      </c>
      <c r="I180" s="4">
        <f>G180*262966788</f>
        <v>4136730542028</v>
      </c>
    </row>
    <row r="181" spans="1:9" x14ac:dyDescent="0.35">
      <c r="A181" s="15"/>
      <c r="B181" s="15"/>
      <c r="C181" s="2">
        <v>2023</v>
      </c>
      <c r="D181" s="5">
        <v>-20758584376</v>
      </c>
      <c r="E181" s="5">
        <v>3965723898904</v>
      </c>
      <c r="F181" s="6">
        <f t="shared" si="2"/>
        <v>-5.2345006624735053E-3</v>
      </c>
      <c r="G181" s="7">
        <v>15416</v>
      </c>
      <c r="H181" s="4">
        <f>-G181*1346561</f>
        <v>-20758584376</v>
      </c>
      <c r="I181" s="4">
        <f>G181*257247269</f>
        <v>3965723898904</v>
      </c>
    </row>
    <row r="182" spans="1:9" x14ac:dyDescent="0.35">
      <c r="A182" s="10">
        <v>37</v>
      </c>
      <c r="B182" s="15" t="s">
        <v>43</v>
      </c>
      <c r="C182" s="2">
        <v>2019</v>
      </c>
      <c r="D182" s="5">
        <v>340950480347</v>
      </c>
      <c r="E182" s="5">
        <v>9443919200572</v>
      </c>
      <c r="F182" s="6">
        <f t="shared" si="2"/>
        <v>3.6102646910230796E-2</v>
      </c>
      <c r="G182" s="7">
        <v>13901</v>
      </c>
      <c r="H182" s="4">
        <f>G182*24527047</f>
        <v>340950480347</v>
      </c>
      <c r="I182" s="4">
        <f>G182*679369772</f>
        <v>9443919200572</v>
      </c>
    </row>
    <row r="183" spans="1:9" x14ac:dyDescent="0.35">
      <c r="A183" s="10"/>
      <c r="B183" s="15"/>
      <c r="C183" s="2">
        <v>2020</v>
      </c>
      <c r="D183" s="5">
        <v>826452163355</v>
      </c>
      <c r="E183" s="5">
        <v>11913337002840</v>
      </c>
      <c r="F183" s="6">
        <f t="shared" si="2"/>
        <v>6.9372012489698182E-2</v>
      </c>
      <c r="G183" s="7">
        <v>14105</v>
      </c>
      <c r="H183" s="4">
        <f>G183*58592851</f>
        <v>826452163355</v>
      </c>
      <c r="I183" s="4">
        <f>G183*844618008</f>
        <v>11913337002840</v>
      </c>
    </row>
    <row r="184" spans="1:9" x14ac:dyDescent="0.35">
      <c r="A184" s="10"/>
      <c r="B184" s="15"/>
      <c r="C184" s="2">
        <v>2021</v>
      </c>
      <c r="D184" s="5">
        <v>566248698691</v>
      </c>
      <c r="E184" s="5">
        <v>15182823445599</v>
      </c>
      <c r="F184" s="6">
        <f t="shared" si="2"/>
        <v>3.7295348965882678E-2</v>
      </c>
      <c r="G184" s="7">
        <v>14269</v>
      </c>
      <c r="H184" s="4">
        <f>G184*39683839</f>
        <v>566248698691</v>
      </c>
      <c r="I184" s="4">
        <f>G184*1064042571</f>
        <v>15182823445599</v>
      </c>
    </row>
    <row r="185" spans="1:9" x14ac:dyDescent="0.35">
      <c r="A185" s="10"/>
      <c r="B185" s="15"/>
      <c r="C185" s="2">
        <v>2022</v>
      </c>
      <c r="D185" s="5">
        <v>10498322433113</v>
      </c>
      <c r="E185" s="5">
        <v>18788011648248</v>
      </c>
      <c r="F185" s="6">
        <f t="shared" si="2"/>
        <v>0.55877772643876222</v>
      </c>
      <c r="G185" s="7">
        <v>15731</v>
      </c>
      <c r="H185" s="4">
        <f>G185*66736523</f>
        <v>1049832243313</v>
      </c>
      <c r="I185" s="4">
        <f>G185*1194330408</f>
        <v>18788011648248</v>
      </c>
    </row>
    <row r="186" spans="1:9" x14ac:dyDescent="0.35">
      <c r="A186" s="10"/>
      <c r="B186" s="15"/>
      <c r="C186" s="2">
        <v>2023</v>
      </c>
      <c r="D186" s="5">
        <v>1050992845112</v>
      </c>
      <c r="E186" s="5">
        <v>21100759777336</v>
      </c>
      <c r="F186" s="6">
        <f t="shared" si="2"/>
        <v>4.9808293928868624E-2</v>
      </c>
      <c r="G186" s="7">
        <v>15416</v>
      </c>
      <c r="H186" s="4">
        <f>G186*68175457</f>
        <v>1050992845112</v>
      </c>
      <c r="I186" s="4">
        <f>G186*1368757121</f>
        <v>21100759777336</v>
      </c>
    </row>
    <row r="187" spans="1:9" x14ac:dyDescent="0.35">
      <c r="A187" s="10">
        <v>38</v>
      </c>
      <c r="B187" s="15" t="s">
        <v>44</v>
      </c>
      <c r="C187" s="2">
        <v>2019</v>
      </c>
      <c r="D187" s="5">
        <v>182689430279</v>
      </c>
      <c r="E187" s="5">
        <v>2833687961978</v>
      </c>
      <c r="F187" s="6">
        <f t="shared" si="2"/>
        <v>6.4470553120279786E-2</v>
      </c>
      <c r="G187" s="7">
        <v>13901</v>
      </c>
      <c r="H187" s="4">
        <f>G187*13142179</f>
        <v>182689430279</v>
      </c>
      <c r="I187" s="4">
        <f>G187*203847778</f>
        <v>2833687961978</v>
      </c>
    </row>
    <row r="188" spans="1:9" x14ac:dyDescent="0.35">
      <c r="A188" s="10"/>
      <c r="B188" s="15"/>
      <c r="C188" s="2">
        <v>2020</v>
      </c>
      <c r="D188" s="5">
        <v>103132685110</v>
      </c>
      <c r="E188" s="5">
        <v>3145076592840</v>
      </c>
      <c r="F188" s="6">
        <f t="shared" si="2"/>
        <v>3.279178807434744E-2</v>
      </c>
      <c r="G188" s="7">
        <v>14105</v>
      </c>
      <c r="H188" s="4">
        <f>G188*7311782</f>
        <v>103132685110</v>
      </c>
      <c r="I188" s="4">
        <f>G188*222976008</f>
        <v>3145076592840</v>
      </c>
    </row>
    <row r="189" spans="1:9" x14ac:dyDescent="0.35">
      <c r="A189" s="10"/>
      <c r="B189" s="15"/>
      <c r="C189" s="2">
        <v>2021</v>
      </c>
      <c r="D189" s="5">
        <v>-184208594914</v>
      </c>
      <c r="E189" s="5">
        <v>190306982789</v>
      </c>
      <c r="F189" s="6">
        <f t="shared" si="2"/>
        <v>-0.96795499678663133</v>
      </c>
      <c r="G189" s="7">
        <v>14269</v>
      </c>
      <c r="H189" s="4">
        <f>G189*-12909706</f>
        <v>-184208594914</v>
      </c>
      <c r="I189" s="4">
        <f>G189*223583081</f>
        <v>3190306982789</v>
      </c>
    </row>
    <row r="190" spans="1:9" x14ac:dyDescent="0.35">
      <c r="A190" s="10"/>
      <c r="B190" s="15"/>
      <c r="C190" s="2">
        <v>2022</v>
      </c>
      <c r="D190" s="5">
        <v>177497482183</v>
      </c>
      <c r="E190" s="5">
        <v>3616877796669</v>
      </c>
      <c r="F190" s="6">
        <f t="shared" si="2"/>
        <v>4.9074780006797047E-2</v>
      </c>
      <c r="G190" s="7">
        <v>15731</v>
      </c>
      <c r="H190" s="4">
        <f>G190*11283293</f>
        <v>177497482183</v>
      </c>
      <c r="I190" s="4">
        <f>G190*229920399</f>
        <v>3616877796669</v>
      </c>
    </row>
    <row r="191" spans="1:9" x14ac:dyDescent="0.35">
      <c r="A191" s="10"/>
      <c r="B191" s="15"/>
      <c r="C191" s="2">
        <v>2023</v>
      </c>
      <c r="D191" s="5">
        <v>142472297936</v>
      </c>
      <c r="E191" s="5">
        <v>4190383348064</v>
      </c>
      <c r="F191" s="6">
        <f t="shared" si="2"/>
        <v>3.3999824384044398E-2</v>
      </c>
      <c r="G191" s="7">
        <v>15416</v>
      </c>
      <c r="H191" s="4">
        <f>G191*9241846</f>
        <v>142472297936</v>
      </c>
      <c r="I191" s="4">
        <f>G191*271820404</f>
        <v>4190383348064</v>
      </c>
    </row>
    <row r="192" spans="1:9" x14ac:dyDescent="0.35">
      <c r="A192" s="10">
        <v>39</v>
      </c>
      <c r="B192" s="15" t="s">
        <v>45</v>
      </c>
      <c r="C192" s="2">
        <v>2019</v>
      </c>
      <c r="D192" s="5">
        <v>-118807963480</v>
      </c>
      <c r="E192" s="5">
        <v>2098179323894</v>
      </c>
      <c r="F192" s="6">
        <f t="shared" si="2"/>
        <v>-5.6624313340150986E-2</v>
      </c>
      <c r="G192" s="7">
        <v>13901</v>
      </c>
      <c r="H192" s="4">
        <f>G192*-8546695</f>
        <v>-118807607195</v>
      </c>
      <c r="I192" s="4">
        <f>G192*150937294</f>
        <v>2098179323894</v>
      </c>
    </row>
    <row r="193" spans="1:9" x14ac:dyDescent="0.35">
      <c r="A193" s="10"/>
      <c r="B193" s="15"/>
      <c r="C193" s="2">
        <v>2020</v>
      </c>
      <c r="D193" s="5">
        <v>-37975963480</v>
      </c>
      <c r="E193" s="5">
        <v>1991825670380</v>
      </c>
      <c r="F193" s="6">
        <f t="shared" si="2"/>
        <v>-1.9065907245163154E-2</v>
      </c>
      <c r="G193" s="7">
        <v>14105</v>
      </c>
      <c r="H193" s="4">
        <f>G193*-2692376</f>
        <v>-37975963480</v>
      </c>
      <c r="I193" s="4">
        <f>G193*141214156</f>
        <v>1991825670380</v>
      </c>
    </row>
    <row r="194" spans="1:9" x14ac:dyDescent="0.35">
      <c r="A194" s="10"/>
      <c r="B194" s="15"/>
      <c r="C194" s="2">
        <v>2021</v>
      </c>
      <c r="D194" s="5">
        <v>-37882582603</v>
      </c>
      <c r="E194" s="5">
        <v>1949533388379</v>
      </c>
      <c r="F194" s="6">
        <f t="shared" si="2"/>
        <v>-1.9431615189980742E-2</v>
      </c>
      <c r="G194" s="7">
        <v>14269</v>
      </c>
      <c r="H194" s="4">
        <f>G194*-2654887</f>
        <v>-37882582603</v>
      </c>
      <c r="I194" s="4">
        <f>G194*136627191</f>
        <v>1949533388379</v>
      </c>
    </row>
    <row r="195" spans="1:9" x14ac:dyDescent="0.35">
      <c r="A195" s="10"/>
      <c r="B195" s="15"/>
      <c r="C195" s="2">
        <v>2022</v>
      </c>
      <c r="D195" s="5">
        <v>-94200814668</v>
      </c>
      <c r="E195" s="5">
        <v>2104189036846</v>
      </c>
      <c r="F195" s="6">
        <f t="shared" ref="F195:F246" si="3">D195/E195</f>
        <v>-4.4768228052931493E-2</v>
      </c>
      <c r="G195" s="7">
        <v>15731</v>
      </c>
      <c r="H195" s="4">
        <f>G195*-5988228</f>
        <v>-94200814668</v>
      </c>
      <c r="I195" s="4">
        <f>G195*133760666</f>
        <v>2104189036846</v>
      </c>
    </row>
    <row r="196" spans="1:9" x14ac:dyDescent="0.35">
      <c r="A196" s="10"/>
      <c r="B196" s="15"/>
      <c r="C196" s="2">
        <v>2023</v>
      </c>
      <c r="D196" s="5">
        <v>-83356639816</v>
      </c>
      <c r="E196" s="5">
        <v>1996717642136</v>
      </c>
      <c r="F196" s="6">
        <f t="shared" si="3"/>
        <v>-4.1746833932327441E-2</v>
      </c>
      <c r="G196" s="7">
        <v>15416</v>
      </c>
      <c r="H196" s="4">
        <f>G196*-5407151</f>
        <v>-83356639816</v>
      </c>
      <c r="I196" s="4">
        <f>G196*129522421</f>
        <v>1996717642136</v>
      </c>
    </row>
    <row r="197" spans="1:9" x14ac:dyDescent="0.35">
      <c r="A197" s="10">
        <v>40</v>
      </c>
      <c r="B197" s="15" t="s">
        <v>46</v>
      </c>
      <c r="C197" s="2">
        <v>2019</v>
      </c>
      <c r="D197" s="5">
        <v>381395703966</v>
      </c>
      <c r="E197" s="5">
        <v>17425618108707</v>
      </c>
      <c r="F197" s="6">
        <f t="shared" si="3"/>
        <v>2.1887068888272566E-2</v>
      </c>
      <c r="G197" s="7">
        <v>13901</v>
      </c>
      <c r="H197" s="4">
        <f>G197*27436566</f>
        <v>381395703966</v>
      </c>
      <c r="I197" s="4">
        <f>G197*1253551407</f>
        <v>17425618108707</v>
      </c>
    </row>
    <row r="198" spans="1:9" x14ac:dyDescent="0.35">
      <c r="A198" s="10"/>
      <c r="B198" s="15"/>
      <c r="C198" s="2">
        <v>2020</v>
      </c>
      <c r="D198" s="5">
        <v>381477285280</v>
      </c>
      <c r="E198" s="5">
        <v>18952683723610</v>
      </c>
      <c r="F198" s="6">
        <f t="shared" si="3"/>
        <v>2.0127876919339968E-2</v>
      </c>
      <c r="G198" s="7">
        <v>14105</v>
      </c>
      <c r="H198" s="4">
        <f>G198*27045536</f>
        <v>381477285280</v>
      </c>
      <c r="I198" s="4">
        <f>G198*1343685482</f>
        <v>18952683723610</v>
      </c>
    </row>
    <row r="199" spans="1:9" x14ac:dyDescent="0.35">
      <c r="A199" s="10"/>
      <c r="B199" s="15"/>
      <c r="C199" s="2">
        <v>2021</v>
      </c>
      <c r="D199" s="5">
        <v>312387321563</v>
      </c>
      <c r="E199" s="5">
        <v>13602633723610</v>
      </c>
      <c r="F199" s="6">
        <f t="shared" si="3"/>
        <v>2.2965208643440236E-2</v>
      </c>
      <c r="G199" s="7">
        <v>14269</v>
      </c>
      <c r="H199" s="4">
        <f>G199*21892727</f>
        <v>312387321563</v>
      </c>
      <c r="I199" s="4">
        <f>G199*953299704</f>
        <v>13602633476376</v>
      </c>
    </row>
    <row r="200" spans="1:9" x14ac:dyDescent="0.35">
      <c r="A200" s="10"/>
      <c r="B200" s="15"/>
      <c r="C200" s="2">
        <v>2022</v>
      </c>
      <c r="D200" s="5">
        <v>226055114971</v>
      </c>
      <c r="E200" s="5">
        <v>17780436630644</v>
      </c>
      <c r="F200" s="6">
        <f t="shared" si="3"/>
        <v>1.2713698750310856E-2</v>
      </c>
      <c r="G200" s="7">
        <v>15731</v>
      </c>
      <c r="H200" s="4">
        <f>G200*14370041</f>
        <v>226055114971</v>
      </c>
      <c r="I200" s="4">
        <f>G200*1130280124</f>
        <v>17780436630644</v>
      </c>
    </row>
    <row r="201" spans="1:9" x14ac:dyDescent="0.35">
      <c r="A201" s="10"/>
      <c r="B201" s="15"/>
      <c r="C201" s="2">
        <v>2023</v>
      </c>
      <c r="D201" s="5">
        <v>226313462632</v>
      </c>
      <c r="E201" s="5">
        <v>27091875525440</v>
      </c>
      <c r="F201" s="6">
        <f t="shared" si="3"/>
        <v>8.3535546448043271E-3</v>
      </c>
      <c r="G201" s="7">
        <v>15416</v>
      </c>
      <c r="H201" s="4">
        <f>G201*14680427</f>
        <v>226313462632</v>
      </c>
      <c r="I201" s="4">
        <f>G201*1757386840</f>
        <v>27091875525440</v>
      </c>
    </row>
    <row r="202" spans="1:9" x14ac:dyDescent="0.35">
      <c r="A202" s="10">
        <v>41</v>
      </c>
      <c r="B202" s="15" t="s">
        <v>47</v>
      </c>
      <c r="C202" s="2">
        <v>2019</v>
      </c>
      <c r="D202" s="5">
        <v>116487959000</v>
      </c>
      <c r="E202" s="5">
        <v>1635154338000</v>
      </c>
      <c r="F202" s="6">
        <f t="shared" si="3"/>
        <v>7.1239733334578961E-2</v>
      </c>
      <c r="G202" s="3"/>
    </row>
    <row r="203" spans="1:9" x14ac:dyDescent="0.35">
      <c r="A203" s="10"/>
      <c r="B203" s="15"/>
      <c r="C203" s="2">
        <v>2020</v>
      </c>
      <c r="D203" s="5">
        <v>-266991306000</v>
      </c>
      <c r="E203" s="5">
        <v>1110213240000</v>
      </c>
      <c r="F203" s="6">
        <f t="shared" si="3"/>
        <v>-0.24048650869989624</v>
      </c>
      <c r="G203" s="3"/>
    </row>
    <row r="204" spans="1:9" x14ac:dyDescent="0.35">
      <c r="A204" s="10"/>
      <c r="B204" s="15"/>
      <c r="C204" s="2">
        <v>2021</v>
      </c>
      <c r="D204" s="5">
        <v>-75252935000</v>
      </c>
      <c r="E204" s="5">
        <v>1206842636000</v>
      </c>
      <c r="F204" s="6">
        <f t="shared" si="3"/>
        <v>-6.2355217453553741E-2</v>
      </c>
      <c r="G204" s="3"/>
    </row>
    <row r="205" spans="1:9" x14ac:dyDescent="0.35">
      <c r="A205" s="10"/>
      <c r="B205" s="15"/>
      <c r="C205" s="2">
        <v>2022</v>
      </c>
      <c r="D205" s="5">
        <v>-59452458000</v>
      </c>
      <c r="E205" s="5">
        <v>905892550000</v>
      </c>
      <c r="F205" s="6">
        <f t="shared" si="3"/>
        <v>-6.5628598005359459E-2</v>
      </c>
      <c r="G205" s="3"/>
    </row>
    <row r="206" spans="1:9" x14ac:dyDescent="0.35">
      <c r="A206" s="10"/>
      <c r="B206" s="15"/>
      <c r="C206" s="2">
        <v>2023</v>
      </c>
      <c r="D206" s="5">
        <v>-41782216000</v>
      </c>
      <c r="E206" s="5">
        <v>976451944000</v>
      </c>
      <c r="F206" s="6">
        <f t="shared" si="3"/>
        <v>-4.2789833392968289E-2</v>
      </c>
      <c r="G206" s="3"/>
    </row>
    <row r="207" spans="1:9" x14ac:dyDescent="0.35">
      <c r="A207" s="10">
        <v>42</v>
      </c>
      <c r="B207" s="15" t="s">
        <v>48</v>
      </c>
      <c r="C207" s="2">
        <v>2019</v>
      </c>
      <c r="D207" s="5">
        <v>-21666724</v>
      </c>
      <c r="E207" s="5">
        <v>863888032</v>
      </c>
      <c r="F207" s="6">
        <f t="shared" si="3"/>
        <v>-2.5080477095902168E-2</v>
      </c>
      <c r="G207" s="3"/>
    </row>
    <row r="208" spans="1:9" x14ac:dyDescent="0.35">
      <c r="A208" s="10"/>
      <c r="B208" s="15"/>
      <c r="C208" s="2">
        <v>2020</v>
      </c>
      <c r="D208" s="5">
        <v>35565332</v>
      </c>
      <c r="E208" s="5">
        <v>703672417</v>
      </c>
      <c r="F208" s="6">
        <f t="shared" si="3"/>
        <v>5.0542455751821799E-2</v>
      </c>
      <c r="G208" s="3"/>
    </row>
    <row r="209" spans="1:9" x14ac:dyDescent="0.35">
      <c r="A209" s="10"/>
      <c r="B209" s="15"/>
      <c r="C209" s="2">
        <v>2021</v>
      </c>
      <c r="D209" s="5">
        <v>94223798</v>
      </c>
      <c r="E209" s="5">
        <v>1245705842</v>
      </c>
      <c r="F209" s="6">
        <f>D209/E209</f>
        <v>7.5638882650435543E-2</v>
      </c>
      <c r="G209" s="3"/>
    </row>
    <row r="210" spans="1:9" x14ac:dyDescent="0.35">
      <c r="A210" s="10"/>
      <c r="B210" s="15"/>
      <c r="C210" s="2">
        <v>2022</v>
      </c>
      <c r="D210" s="5">
        <v>3400158</v>
      </c>
      <c r="E210" s="5">
        <v>1421234992</v>
      </c>
      <c r="F210" s="6">
        <f t="shared" si="3"/>
        <v>2.3923967669943211E-3</v>
      </c>
      <c r="G210" s="3"/>
    </row>
    <row r="211" spans="1:9" x14ac:dyDescent="0.35">
      <c r="A211" s="10"/>
      <c r="B211" s="15"/>
      <c r="C211" s="2">
        <v>2023</v>
      </c>
      <c r="D211" s="5">
        <v>15637475</v>
      </c>
      <c r="E211" s="5">
        <v>1844239416</v>
      </c>
      <c r="F211" s="6">
        <f t="shared" si="3"/>
        <v>8.4790916322113781E-3</v>
      </c>
      <c r="G211" s="3"/>
    </row>
    <row r="212" spans="1:9" x14ac:dyDescent="0.35">
      <c r="A212" s="10">
        <v>43</v>
      </c>
      <c r="B212" s="15" t="s">
        <v>49</v>
      </c>
      <c r="C212" s="2">
        <v>2019</v>
      </c>
      <c r="D212" s="5">
        <v>284700695491</v>
      </c>
      <c r="E212" s="5">
        <v>16429747466091</v>
      </c>
      <c r="F212" s="6">
        <f t="shared" si="3"/>
        <v>1.732836710232994E-2</v>
      </c>
      <c r="G212" s="7">
        <v>13901</v>
      </c>
      <c r="H212" s="4">
        <f>G212*20480591</f>
        <v>284700695491</v>
      </c>
      <c r="I212" s="4">
        <f>G212*1181911191</f>
        <v>16429747466091</v>
      </c>
    </row>
    <row r="213" spans="1:9" x14ac:dyDescent="0.35">
      <c r="A213" s="10"/>
      <c r="B213" s="15"/>
      <c r="C213" s="2">
        <v>2020</v>
      </c>
      <c r="D213" s="5">
        <v>-330569998850</v>
      </c>
      <c r="E213" s="5">
        <v>13744613766065</v>
      </c>
      <c r="F213" s="6">
        <f t="shared" si="3"/>
        <v>-2.4050875817708785E-2</v>
      </c>
      <c r="G213" s="7">
        <v>14105</v>
      </c>
      <c r="H213" s="4">
        <f>G213*-23436370</f>
        <v>-330569998850</v>
      </c>
      <c r="I213" s="4">
        <f>G213*974449753</f>
        <v>13744613766065</v>
      </c>
    </row>
    <row r="214" spans="1:9" x14ac:dyDescent="0.35">
      <c r="A214" s="10"/>
      <c r="B214" s="15"/>
      <c r="C214" s="2">
        <v>2021</v>
      </c>
      <c r="D214" s="5">
        <v>4003110874</v>
      </c>
      <c r="E214" s="5">
        <v>23343489082582</v>
      </c>
      <c r="F214" s="6">
        <f t="shared" si="3"/>
        <v>1.7148725539006785E-4</v>
      </c>
      <c r="G214" s="7">
        <v>14269</v>
      </c>
      <c r="H214" s="4">
        <f>G214*280546</f>
        <v>4003110874</v>
      </c>
      <c r="I214" s="4">
        <f>G214*1635958307</f>
        <v>23343489082583</v>
      </c>
    </row>
    <row r="215" spans="1:9" x14ac:dyDescent="0.35">
      <c r="A215" s="10"/>
      <c r="B215" s="15"/>
      <c r="C215" s="2">
        <v>2022</v>
      </c>
      <c r="D215" s="5">
        <v>450515547010</v>
      </c>
      <c r="E215" s="5">
        <v>24714775999517</v>
      </c>
      <c r="F215" s="6">
        <f t="shared" si="3"/>
        <v>1.8228591148016247E-2</v>
      </c>
      <c r="G215" s="7">
        <v>15731</v>
      </c>
      <c r="H215" s="4">
        <f>G215*28638710</f>
        <v>450515547010</v>
      </c>
      <c r="I215" s="4">
        <f>G215*1571087407</f>
        <v>24714775999517</v>
      </c>
    </row>
    <row r="216" spans="1:9" x14ac:dyDescent="0.35">
      <c r="A216" s="10"/>
      <c r="B216" s="15"/>
      <c r="C216" s="2">
        <v>2023</v>
      </c>
      <c r="D216" s="5">
        <v>555133104456</v>
      </c>
      <c r="E216" s="5">
        <v>28898824412064</v>
      </c>
      <c r="F216" s="6">
        <f t="shared" si="3"/>
        <v>1.920953934113168E-2</v>
      </c>
      <c r="G216" s="7">
        <v>15416</v>
      </c>
      <c r="H216" s="4">
        <f>G216*36010191</f>
        <v>555133104456</v>
      </c>
      <c r="I216" s="4">
        <f>G216*1874599404</f>
        <v>28898824412064</v>
      </c>
    </row>
    <row r="217" spans="1:9" x14ac:dyDescent="0.35">
      <c r="A217" s="10">
        <v>44</v>
      </c>
      <c r="B217" s="15" t="s">
        <v>50</v>
      </c>
      <c r="C217" s="2">
        <v>2019</v>
      </c>
      <c r="D217" s="5">
        <v>-987102131000</v>
      </c>
      <c r="E217" s="5">
        <v>1785484025750</v>
      </c>
      <c r="F217" s="6">
        <f t="shared" si="3"/>
        <v>-0.55284848072799964</v>
      </c>
      <c r="G217" s="7"/>
    </row>
    <row r="218" spans="1:9" x14ac:dyDescent="0.35">
      <c r="A218" s="10"/>
      <c r="B218" s="15"/>
      <c r="C218" s="2">
        <v>2020</v>
      </c>
      <c r="D218" s="5">
        <v>-957193562822</v>
      </c>
      <c r="E218" s="5">
        <v>852964580558</v>
      </c>
      <c r="F218" s="6">
        <f t="shared" si="3"/>
        <v>-1.1221961434738763</v>
      </c>
      <c r="G218" s="7"/>
    </row>
    <row r="219" spans="1:9" x14ac:dyDescent="0.35">
      <c r="A219" s="10"/>
      <c r="B219" s="15"/>
      <c r="C219" s="2">
        <v>2021</v>
      </c>
      <c r="D219" s="5">
        <v>-135180662798</v>
      </c>
      <c r="E219" s="5">
        <v>643764915310</v>
      </c>
      <c r="F219" s="6">
        <f t="shared" si="3"/>
        <v>-0.20998451388563913</v>
      </c>
      <c r="G219" s="7"/>
    </row>
    <row r="220" spans="1:9" x14ac:dyDescent="0.35">
      <c r="A220" s="10"/>
      <c r="B220" s="15"/>
      <c r="C220" s="2">
        <v>2022</v>
      </c>
      <c r="D220" s="5">
        <v>-57747507867</v>
      </c>
      <c r="E220" s="5">
        <v>615198410313</v>
      </c>
      <c r="F220" s="6">
        <f t="shared" si="3"/>
        <v>-9.3868103198802622E-2</v>
      </c>
      <c r="G220" s="7"/>
    </row>
    <row r="221" spans="1:9" x14ac:dyDescent="0.35">
      <c r="A221" s="10"/>
      <c r="B221" s="15"/>
      <c r="C221" s="2">
        <v>2023</v>
      </c>
      <c r="D221" s="5">
        <v>-19892985630</v>
      </c>
      <c r="E221" s="5">
        <v>597073795881</v>
      </c>
      <c r="F221" s="6">
        <f t="shared" si="3"/>
        <v>-3.3317465558251998E-2</v>
      </c>
      <c r="G221" s="7"/>
    </row>
    <row r="222" spans="1:9" x14ac:dyDescent="0.35">
      <c r="A222" s="10">
        <v>45</v>
      </c>
      <c r="B222" s="15" t="s">
        <v>51</v>
      </c>
      <c r="C222" s="2">
        <v>2019</v>
      </c>
      <c r="D222" s="5">
        <v>996067981</v>
      </c>
      <c r="E222" s="5">
        <v>51697444562664</v>
      </c>
      <c r="F222" s="8">
        <f t="shared" si="3"/>
        <v>1.9267257587415885E-5</v>
      </c>
      <c r="G222" s="7">
        <v>13901</v>
      </c>
      <c r="H222" s="4">
        <f>G222*71654412</f>
        <v>996067981212</v>
      </c>
      <c r="I222" s="4">
        <f>G222*3718973064</f>
        <v>51697444562664</v>
      </c>
    </row>
    <row r="223" spans="1:9" x14ac:dyDescent="0.35">
      <c r="A223" s="10"/>
      <c r="B223" s="15"/>
      <c r="C223" s="2">
        <v>2020</v>
      </c>
      <c r="D223" s="5">
        <v>-816644844015</v>
      </c>
      <c r="E223" s="5">
        <v>40907752923310</v>
      </c>
      <c r="F223" s="6">
        <f>D223/E223</f>
        <v>-1.9963082439310924E-2</v>
      </c>
      <c r="G223" s="7">
        <v>14105</v>
      </c>
      <c r="H223" s="4">
        <f>-G223*57897543</f>
        <v>-816644844015</v>
      </c>
      <c r="I223" s="4">
        <f>G223*2900230622</f>
        <v>40907752923310</v>
      </c>
    </row>
    <row r="224" spans="1:9" x14ac:dyDescent="0.35">
      <c r="A224" s="10"/>
      <c r="B224" s="15"/>
      <c r="C224" s="2">
        <v>2021</v>
      </c>
      <c r="D224" s="5">
        <v>3786101258377</v>
      </c>
      <c r="E224" s="5">
        <v>42950727299224</v>
      </c>
      <c r="F224" s="6">
        <f t="shared" si="3"/>
        <v>8.8149875367661223E-2</v>
      </c>
      <c r="G224" s="7">
        <v>14269</v>
      </c>
      <c r="H224" s="4">
        <f>G224*265337533</f>
        <v>3786101258377</v>
      </c>
      <c r="I224" s="4">
        <f>G224*3010072696</f>
        <v>42950727299224</v>
      </c>
    </row>
    <row r="225" spans="1:9" x14ac:dyDescent="0.35">
      <c r="A225" s="10"/>
      <c r="B225" s="15"/>
      <c r="C225" s="2">
        <v>2022</v>
      </c>
      <c r="D225" s="5">
        <v>20421411497214</v>
      </c>
      <c r="E225" s="5">
        <v>101168891290058</v>
      </c>
      <c r="F225" s="6">
        <f t="shared" si="3"/>
        <v>0.20185465350870005</v>
      </c>
      <c r="G225" s="7">
        <v>15731</v>
      </c>
      <c r="H225" s="4">
        <f>G225*1298163594</f>
        <v>20421411497214</v>
      </c>
      <c r="I225" s="4">
        <f>G225*6431179918</f>
        <v>101168891290058</v>
      </c>
    </row>
    <row r="226" spans="1:9" x14ac:dyDescent="0.35">
      <c r="A226" s="10"/>
      <c r="B226" s="15"/>
      <c r="C226" s="2">
        <v>2023</v>
      </c>
      <c r="D226" s="5">
        <v>13339673208904</v>
      </c>
      <c r="E226" s="5">
        <v>47223416830072</v>
      </c>
      <c r="F226" s="6">
        <f t="shared" si="3"/>
        <v>0.28248005130389592</v>
      </c>
      <c r="G226" s="7">
        <v>15416</v>
      </c>
      <c r="H226" s="4">
        <f>G226*865313519</f>
        <v>13339673208904</v>
      </c>
      <c r="I226" s="4">
        <f>G226*3063273017</f>
        <v>47223416830072</v>
      </c>
    </row>
    <row r="227" spans="1:9" x14ac:dyDescent="0.35">
      <c r="A227" s="10">
        <v>46</v>
      </c>
      <c r="B227" s="15" t="s">
        <v>52</v>
      </c>
      <c r="C227" s="2">
        <v>2019</v>
      </c>
      <c r="D227" s="5">
        <v>-141752430983</v>
      </c>
      <c r="E227" s="5">
        <v>1216359825006</v>
      </c>
      <c r="F227" s="6">
        <f t="shared" si="3"/>
        <v>-0.1165382381667372</v>
      </c>
      <c r="G227" s="7">
        <v>13901</v>
      </c>
      <c r="H227" s="4">
        <f>G227*-10197283</f>
        <v>-141752430983</v>
      </c>
      <c r="I227" s="4">
        <f>G227*87501606</f>
        <v>1216359825006</v>
      </c>
    </row>
    <row r="228" spans="1:9" x14ac:dyDescent="0.35">
      <c r="A228" s="10"/>
      <c r="B228" s="15"/>
      <c r="C228" s="2">
        <v>2020</v>
      </c>
      <c r="D228" s="5">
        <v>-13106746835</v>
      </c>
      <c r="E228" s="5">
        <v>1156902086340</v>
      </c>
      <c r="F228" s="6">
        <f t="shared" si="3"/>
        <v>-1.1329175554056423E-2</v>
      </c>
      <c r="G228" s="7">
        <v>14105</v>
      </c>
      <c r="H228" s="4">
        <f>G228*-929227</f>
        <v>-13106746835</v>
      </c>
      <c r="I228" s="4">
        <f>G228*82020708</f>
        <v>1156902086340</v>
      </c>
    </row>
    <row r="229" spans="1:9" x14ac:dyDescent="0.35">
      <c r="A229" s="10"/>
      <c r="B229" s="15"/>
      <c r="C229" s="2">
        <v>2021</v>
      </c>
      <c r="D229" s="5">
        <v>-63181162878</v>
      </c>
      <c r="E229" s="5">
        <v>1007972776136</v>
      </c>
      <c r="F229" s="6">
        <f t="shared" si="3"/>
        <v>-6.2681417964680547E-2</v>
      </c>
      <c r="G229" s="7">
        <v>14269</v>
      </c>
      <c r="H229" s="4">
        <f>G229*-4427862</f>
        <v>-63181162878</v>
      </c>
      <c r="I229" s="4">
        <f>G229*70640744</f>
        <v>1007972776136</v>
      </c>
    </row>
    <row r="230" spans="1:9" x14ac:dyDescent="0.35">
      <c r="A230" s="10"/>
      <c r="B230" s="15"/>
      <c r="C230" s="2">
        <v>2022</v>
      </c>
      <c r="D230" s="5">
        <v>-76655873058</v>
      </c>
      <c r="E230" s="5">
        <v>993855398995</v>
      </c>
      <c r="F230" s="6">
        <f t="shared" si="3"/>
        <v>-7.7129804934918555E-2</v>
      </c>
      <c r="G230" s="7">
        <v>15731</v>
      </c>
      <c r="H230" s="4">
        <f>G230*-4872918</f>
        <v>-76655873058</v>
      </c>
      <c r="I230" s="4">
        <f>G230*63178145</f>
        <v>993855398995</v>
      </c>
    </row>
    <row r="231" spans="1:9" x14ac:dyDescent="0.35">
      <c r="A231" s="10"/>
      <c r="B231" s="15"/>
      <c r="C231" s="2">
        <v>2023</v>
      </c>
      <c r="D231" s="5">
        <v>-77053746552</v>
      </c>
      <c r="E231" s="5">
        <v>866374236048</v>
      </c>
      <c r="F231" s="6">
        <f t="shared" si="3"/>
        <v>-8.8938178613763588E-2</v>
      </c>
      <c r="G231" s="7">
        <v>15416</v>
      </c>
      <c r="H231" s="4">
        <f>G231*-4998297</f>
        <v>-77053746552</v>
      </c>
      <c r="I231" s="4">
        <f>G231*56199678</f>
        <v>866374236048</v>
      </c>
    </row>
    <row r="232" spans="1:9" x14ac:dyDescent="0.35">
      <c r="A232" s="10">
        <v>47</v>
      </c>
      <c r="B232" s="15" t="s">
        <v>53</v>
      </c>
      <c r="C232" s="2">
        <v>2019</v>
      </c>
      <c r="D232" s="5">
        <v>423528119757</v>
      </c>
      <c r="E232" s="5">
        <v>3484707072716</v>
      </c>
      <c r="F232" s="6">
        <f t="shared" si="3"/>
        <v>0.12153908805508287</v>
      </c>
      <c r="G232" s="7">
        <v>13901</v>
      </c>
      <c r="H232" s="4">
        <f>G232*30467457</f>
        <v>423528119757</v>
      </c>
      <c r="I232" s="4">
        <f>G232*250680316</f>
        <v>3484707072716</v>
      </c>
    </row>
    <row r="233" spans="1:9" x14ac:dyDescent="0.35">
      <c r="A233" s="10"/>
      <c r="B233" s="15"/>
      <c r="C233" s="2">
        <v>2020</v>
      </c>
      <c r="D233" s="5">
        <v>430488394245</v>
      </c>
      <c r="E233" s="5">
        <v>3714463847640</v>
      </c>
      <c r="F233" s="6">
        <f t="shared" si="3"/>
        <v>0.11589516331368055</v>
      </c>
      <c r="G233" s="7">
        <v>14105</v>
      </c>
      <c r="H233" s="4">
        <f>G233*30520269</f>
        <v>430488394245</v>
      </c>
      <c r="I233" s="4">
        <f>G233*263343768</f>
        <v>3714463847640</v>
      </c>
    </row>
    <row r="234" spans="1:9" x14ac:dyDescent="0.35">
      <c r="A234" s="10"/>
      <c r="B234" s="15"/>
      <c r="C234" s="2">
        <v>2021</v>
      </c>
      <c r="D234" s="5">
        <v>2927489810501</v>
      </c>
      <c r="E234" s="5">
        <v>6211543780834</v>
      </c>
      <c r="F234" s="6">
        <f t="shared" si="3"/>
        <v>0.47129826558317156</v>
      </c>
      <c r="G234" s="7">
        <v>14269</v>
      </c>
      <c r="H234" s="4">
        <f>G234*205164329</f>
        <v>2927489810501</v>
      </c>
      <c r="I234" s="4">
        <f>G234*435317386</f>
        <v>6211543780834</v>
      </c>
    </row>
    <row r="235" spans="1:9" x14ac:dyDescent="0.35">
      <c r="A235" s="10"/>
      <c r="B235" s="15"/>
      <c r="C235" s="2">
        <v>2022</v>
      </c>
      <c r="D235" s="5">
        <v>3773804274889</v>
      </c>
      <c r="E235" s="5">
        <v>6368399213925</v>
      </c>
      <c r="F235" s="6">
        <f t="shared" si="3"/>
        <v>0.59258286864888798</v>
      </c>
      <c r="G235" s="7">
        <v>15731</v>
      </c>
      <c r="H235" s="4">
        <f>G235*239896019</f>
        <v>3773804274889</v>
      </c>
      <c r="I235" s="4">
        <f>G235*404831175</f>
        <v>6368399213925</v>
      </c>
    </row>
    <row r="236" spans="1:9" x14ac:dyDescent="0.35">
      <c r="A236" s="10"/>
      <c r="B236" s="15"/>
      <c r="C236" s="2">
        <v>2023</v>
      </c>
      <c r="D236" s="5">
        <v>2501545979944</v>
      </c>
      <c r="E236" s="5">
        <v>6296735697368</v>
      </c>
      <c r="F236" s="6">
        <f t="shared" si="3"/>
        <v>0.39727663668488294</v>
      </c>
      <c r="G236" s="7">
        <v>15416</v>
      </c>
      <c r="H236" s="4">
        <f>G236*162269459</f>
        <v>2501545979944</v>
      </c>
      <c r="I236" s="4">
        <f>G236*408454573</f>
        <v>6296735697368</v>
      </c>
    </row>
    <row r="237" spans="1:9" x14ac:dyDescent="0.35">
      <c r="A237" s="10">
        <v>48</v>
      </c>
      <c r="B237" s="15" t="s">
        <v>54</v>
      </c>
      <c r="C237" s="2">
        <v>2019</v>
      </c>
      <c r="D237" s="5">
        <v>3255770961577</v>
      </c>
      <c r="E237" s="5">
        <v>17766035749823</v>
      </c>
      <c r="F237" s="6">
        <f t="shared" si="3"/>
        <v>0.18325815659857808</v>
      </c>
      <c r="G237" s="7">
        <v>13901</v>
      </c>
      <c r="H237" s="4">
        <f>G237*234211277</f>
        <v>3255770961577</v>
      </c>
      <c r="I237" s="4">
        <f>G237*1278040123</f>
        <v>17766035749823</v>
      </c>
    </row>
    <row r="238" spans="1:9" x14ac:dyDescent="0.35">
      <c r="A238" s="10"/>
      <c r="B238" s="15"/>
      <c r="C238" s="2">
        <v>2020</v>
      </c>
      <c r="D238" s="5">
        <v>4858606466350</v>
      </c>
      <c r="E238" s="5">
        <v>22846221435310</v>
      </c>
      <c r="F238" s="6">
        <f t="shared" si="3"/>
        <v>0.21266564714464231</v>
      </c>
      <c r="G238" s="7">
        <v>14105</v>
      </c>
      <c r="H238" s="4">
        <f>G238*344459870</f>
        <v>4858606466350</v>
      </c>
      <c r="I238" s="4">
        <f>G238*1619725022</f>
        <v>22846221435310</v>
      </c>
    </row>
    <row r="239" spans="1:9" x14ac:dyDescent="0.35">
      <c r="A239" s="10"/>
      <c r="B239" s="15"/>
      <c r="C239" s="2">
        <v>2021</v>
      </c>
      <c r="D239" s="5">
        <v>18063945312998</v>
      </c>
      <c r="E239" s="5">
        <v>34726639253379</v>
      </c>
      <c r="F239" s="6">
        <f t="shared" si="3"/>
        <v>0.52017545323624503</v>
      </c>
      <c r="G239" s="7">
        <v>14269</v>
      </c>
      <c r="H239" s="4">
        <f>G239*1265957342</f>
        <v>18063945312998</v>
      </c>
      <c r="I239" s="4">
        <f>G239*2433712191</f>
        <v>34726639253379</v>
      </c>
    </row>
    <row r="240" spans="1:9" x14ac:dyDescent="0.35">
      <c r="A240" s="10"/>
      <c r="B240" s="15"/>
      <c r="C240" s="2">
        <v>2022</v>
      </c>
      <c r="D240" s="5">
        <v>36206556859857</v>
      </c>
      <c r="E240" s="5">
        <v>62066013405315</v>
      </c>
      <c r="F240" s="6">
        <f t="shared" si="3"/>
        <v>0.58335560596447888</v>
      </c>
      <c r="G240" s="7">
        <v>15731</v>
      </c>
      <c r="H240" s="4">
        <f>G240*2301605547</f>
        <v>36206556859857</v>
      </c>
      <c r="I240" s="4">
        <f>G240*3945458865</f>
        <v>62066013405315</v>
      </c>
    </row>
    <row r="241" spans="1:9" x14ac:dyDescent="0.35">
      <c r="A241" s="10"/>
      <c r="B241" s="15"/>
      <c r="C241" s="2">
        <v>2023</v>
      </c>
      <c r="D241" s="5">
        <v>19726018260272</v>
      </c>
      <c r="E241" s="5">
        <v>53097634283456</v>
      </c>
      <c r="F241" s="6">
        <f t="shared" si="3"/>
        <v>0.37150465414272088</v>
      </c>
      <c r="G241" s="7">
        <v>15416</v>
      </c>
      <c r="H241" s="4">
        <f>G241*1279580842</f>
        <v>19726018260272</v>
      </c>
      <c r="I241" s="4">
        <f>G241*3444319816</f>
        <v>53097634283456</v>
      </c>
    </row>
    <row r="242" spans="1:9" x14ac:dyDescent="0.35">
      <c r="A242" s="10">
        <v>49</v>
      </c>
      <c r="B242" s="15" t="s">
        <v>55</v>
      </c>
      <c r="C242" s="2">
        <v>2019</v>
      </c>
      <c r="D242" s="5">
        <v>-62316820702</v>
      </c>
      <c r="E242" s="5">
        <v>1077311889177</v>
      </c>
      <c r="F242" s="6">
        <f t="shared" si="3"/>
        <v>-5.7844734963062756E-2</v>
      </c>
      <c r="G242" s="7">
        <v>13901</v>
      </c>
      <c r="H242" s="4">
        <f>G242*-4482902</f>
        <v>-62316820702</v>
      </c>
      <c r="I242" s="4">
        <f>G242*77498877</f>
        <v>1077311889177</v>
      </c>
    </row>
    <row r="243" spans="1:9" x14ac:dyDescent="0.35">
      <c r="A243" s="10"/>
      <c r="B243" s="15"/>
      <c r="C243" s="2">
        <v>2020</v>
      </c>
      <c r="D243" s="5">
        <v>166050435460</v>
      </c>
      <c r="E243" s="5">
        <v>524894414590</v>
      </c>
      <c r="F243" s="6">
        <f t="shared" si="3"/>
        <v>0.31635016651816267</v>
      </c>
      <c r="G243" s="7">
        <v>14105</v>
      </c>
      <c r="H243" s="4">
        <f>G243*-11772452</f>
        <v>-166050435460</v>
      </c>
      <c r="I243" s="4">
        <f>G243*37213358</f>
        <v>524894414590</v>
      </c>
    </row>
    <row r="244" spans="1:9" x14ac:dyDescent="0.35">
      <c r="A244" s="10"/>
      <c r="B244" s="15"/>
      <c r="C244" s="2">
        <v>2021</v>
      </c>
      <c r="D244" s="5">
        <v>9604763549</v>
      </c>
      <c r="E244" s="5">
        <v>480101937038</v>
      </c>
      <c r="F244" s="6">
        <f t="shared" si="3"/>
        <v>2.0005675478538602E-2</v>
      </c>
      <c r="G244" s="7">
        <v>14269</v>
      </c>
      <c r="H244" s="4">
        <f>G244*673121</f>
        <v>9604763549</v>
      </c>
      <c r="I244" s="4">
        <f>G244*33646502</f>
        <v>480101937038</v>
      </c>
    </row>
    <row r="245" spans="1:9" x14ac:dyDescent="0.35">
      <c r="A245" s="10"/>
      <c r="B245" s="15"/>
      <c r="C245" s="2">
        <v>2022</v>
      </c>
      <c r="D245" s="5">
        <v>10890917382</v>
      </c>
      <c r="E245" s="5">
        <v>534995169994</v>
      </c>
      <c r="F245" s="6">
        <f t="shared" si="3"/>
        <v>2.0357038703960901E-2</v>
      </c>
      <c r="G245" s="7">
        <v>15731</v>
      </c>
      <c r="H245" s="4">
        <f>G245*692322</f>
        <v>10890917382</v>
      </c>
      <c r="I245" s="4">
        <f>G245*34008974</f>
        <v>534995169994</v>
      </c>
    </row>
    <row r="246" spans="1:9" x14ac:dyDescent="0.35">
      <c r="A246" s="10"/>
      <c r="B246" s="15"/>
      <c r="C246" s="2">
        <v>2023</v>
      </c>
      <c r="D246" s="5">
        <v>62281811616</v>
      </c>
      <c r="E246" s="5">
        <v>536265523720</v>
      </c>
      <c r="F246" s="6">
        <f t="shared" si="3"/>
        <v>0.1161398763507295</v>
      </c>
      <c r="G246" s="7">
        <v>15416</v>
      </c>
      <c r="H246" s="4">
        <f>G246*4040076</f>
        <v>62281811616</v>
      </c>
      <c r="I246" s="4">
        <f>G246*34786295</f>
        <v>536265523720</v>
      </c>
    </row>
  </sheetData>
  <mergeCells count="85">
    <mergeCell ref="A2:A6"/>
    <mergeCell ref="B2:B6"/>
    <mergeCell ref="A7:A11"/>
    <mergeCell ref="B7:B11"/>
    <mergeCell ref="A12:A16"/>
    <mergeCell ref="B12:B16"/>
    <mergeCell ref="A17:A21"/>
    <mergeCell ref="B17:B21"/>
    <mergeCell ref="A22:A26"/>
    <mergeCell ref="B22:B26"/>
    <mergeCell ref="A27:A31"/>
    <mergeCell ref="B27:B31"/>
    <mergeCell ref="A32:A36"/>
    <mergeCell ref="B32:B36"/>
    <mergeCell ref="A37:A41"/>
    <mergeCell ref="B37:B41"/>
    <mergeCell ref="A42:A46"/>
    <mergeCell ref="B42:B46"/>
    <mergeCell ref="A47:A51"/>
    <mergeCell ref="B47:B51"/>
    <mergeCell ref="A52:A56"/>
    <mergeCell ref="B52:B56"/>
    <mergeCell ref="A57:A61"/>
    <mergeCell ref="B57:B61"/>
    <mergeCell ref="A62:A66"/>
    <mergeCell ref="B62:B66"/>
    <mergeCell ref="A67:A71"/>
    <mergeCell ref="B67:B71"/>
    <mergeCell ref="A72:A76"/>
    <mergeCell ref="B72:B76"/>
    <mergeCell ref="A77:A81"/>
    <mergeCell ref="B77:B81"/>
    <mergeCell ref="A82:A86"/>
    <mergeCell ref="B82:B86"/>
    <mergeCell ref="A87:A91"/>
    <mergeCell ref="B87:B91"/>
    <mergeCell ref="A92:A96"/>
    <mergeCell ref="B92:B96"/>
    <mergeCell ref="A97:A101"/>
    <mergeCell ref="B97:B101"/>
    <mergeCell ref="A102:A106"/>
    <mergeCell ref="B102:B106"/>
    <mergeCell ref="A107:A111"/>
    <mergeCell ref="B107:B111"/>
    <mergeCell ref="A112:A116"/>
    <mergeCell ref="B112:B116"/>
    <mergeCell ref="A117:A121"/>
    <mergeCell ref="B117:B121"/>
    <mergeCell ref="A122:A126"/>
    <mergeCell ref="B122:B126"/>
    <mergeCell ref="A127:A131"/>
    <mergeCell ref="B127:B131"/>
    <mergeCell ref="A132:A136"/>
    <mergeCell ref="B132:B136"/>
    <mergeCell ref="A137:A141"/>
    <mergeCell ref="B137:B141"/>
    <mergeCell ref="A142:A146"/>
    <mergeCell ref="B142:B146"/>
    <mergeCell ref="A147:A151"/>
    <mergeCell ref="B147:B151"/>
    <mergeCell ref="A152:A156"/>
    <mergeCell ref="B152:B156"/>
    <mergeCell ref="A157:A161"/>
    <mergeCell ref="B157:B161"/>
    <mergeCell ref="A162:A166"/>
    <mergeCell ref="B162:B166"/>
    <mergeCell ref="B207:B211"/>
    <mergeCell ref="A167:A171"/>
    <mergeCell ref="B167:B171"/>
    <mergeCell ref="A172:A176"/>
    <mergeCell ref="B172:B176"/>
    <mergeCell ref="A177:A181"/>
    <mergeCell ref="B177:B181"/>
    <mergeCell ref="B182:B186"/>
    <mergeCell ref="B187:B191"/>
    <mergeCell ref="B192:B196"/>
    <mergeCell ref="B197:B201"/>
    <mergeCell ref="B202:B206"/>
    <mergeCell ref="B242:B246"/>
    <mergeCell ref="B212:B216"/>
    <mergeCell ref="B217:B221"/>
    <mergeCell ref="B222:B226"/>
    <mergeCell ref="B227:B231"/>
    <mergeCell ref="B232:B236"/>
    <mergeCell ref="B237:B24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62445-43D8-47FE-934D-5207E8654C61}">
  <dimension ref="A1:I246"/>
  <sheetViews>
    <sheetView topLeftCell="A16" workbookViewId="0">
      <selection sqref="A1:F246"/>
    </sheetView>
  </sheetViews>
  <sheetFormatPr defaultRowHeight="14.5" x14ac:dyDescent="0.35"/>
  <cols>
    <col min="1" max="1" width="4.90625" customWidth="1"/>
    <col min="2" max="2" width="18.7265625" customWidth="1"/>
    <col min="4" max="5" width="21.08984375" bestFit="1" customWidth="1"/>
    <col min="6" max="6" width="12.453125" bestFit="1" customWidth="1"/>
    <col min="8" max="9" width="18.453125" bestFit="1" customWidth="1"/>
    <col min="10" max="10" width="7.7265625" customWidth="1"/>
  </cols>
  <sheetData>
    <row r="1" spans="1:9" s="13" customFormat="1" ht="23.5" customHeight="1" x14ac:dyDescent="0.35">
      <c r="A1" s="9" t="s">
        <v>56</v>
      </c>
      <c r="B1" s="9" t="s">
        <v>1</v>
      </c>
      <c r="C1" s="9" t="s">
        <v>2</v>
      </c>
      <c r="D1" s="11" t="s">
        <v>57</v>
      </c>
      <c r="E1" s="11" t="s">
        <v>58</v>
      </c>
      <c r="F1" s="9" t="s">
        <v>59</v>
      </c>
      <c r="G1" s="12" t="s">
        <v>6</v>
      </c>
      <c r="H1" s="1"/>
      <c r="I1" s="1"/>
    </row>
    <row r="2" spans="1:9" x14ac:dyDescent="0.35">
      <c r="A2" s="15">
        <v>1</v>
      </c>
      <c r="B2" s="15" t="s">
        <v>7</v>
      </c>
      <c r="C2" s="2">
        <v>2019</v>
      </c>
      <c r="D2" s="5">
        <v>44951802710</v>
      </c>
      <c r="E2" s="5">
        <v>55373173895</v>
      </c>
      <c r="F2" s="6">
        <f>D2/E2</f>
        <v>0.81179747426504278</v>
      </c>
      <c r="G2" s="14">
        <v>13901</v>
      </c>
      <c r="H2" s="4">
        <f>G2*3233710</f>
        <v>44951802710</v>
      </c>
      <c r="I2" s="4">
        <f>G2*3983395</f>
        <v>55373173895</v>
      </c>
    </row>
    <row r="3" spans="1:9" x14ac:dyDescent="0.35">
      <c r="A3" s="15"/>
      <c r="B3" s="15"/>
      <c r="C3" s="2">
        <v>2020</v>
      </c>
      <c r="D3" s="5">
        <v>35161677460</v>
      </c>
      <c r="E3" s="5">
        <v>55738925970</v>
      </c>
      <c r="F3" s="6">
        <f t="shared" ref="F3:F66" si="0">D3/E3</f>
        <v>0.63082804069322829</v>
      </c>
      <c r="G3" s="14">
        <v>14105</v>
      </c>
      <c r="H3" s="4">
        <f>G3*2492852</f>
        <v>35161677460</v>
      </c>
      <c r="I3" s="4">
        <f>G3*3951714</f>
        <v>55738925970</v>
      </c>
    </row>
    <row r="4" spans="1:9" x14ac:dyDescent="0.35">
      <c r="A4" s="15"/>
      <c r="B4" s="15"/>
      <c r="C4" s="2">
        <v>2021</v>
      </c>
      <c r="D4" s="5">
        <v>44642293049</v>
      </c>
      <c r="E4" s="5">
        <v>63615696735</v>
      </c>
      <c r="F4" s="6">
        <f t="shared" si="0"/>
        <v>0.70174965205464401</v>
      </c>
      <c r="G4" s="14">
        <v>14269</v>
      </c>
      <c r="H4" s="4">
        <f>G4*3128621</f>
        <v>44642293049</v>
      </c>
      <c r="I4" s="4">
        <f>G4*4458315</f>
        <v>63615696735</v>
      </c>
    </row>
    <row r="5" spans="1:9" x14ac:dyDescent="0.35">
      <c r="A5" s="15"/>
      <c r="B5" s="15"/>
      <c r="C5" s="2">
        <v>2022</v>
      </c>
      <c r="D5" s="5">
        <v>66934917339</v>
      </c>
      <c r="E5" s="5">
        <v>169616471417</v>
      </c>
      <c r="F5" s="6">
        <f t="shared" si="0"/>
        <v>0.39462510203057655</v>
      </c>
      <c r="G5" s="14">
        <v>15731</v>
      </c>
      <c r="H5" s="4">
        <f>4254969*G5</f>
        <v>66934917339</v>
      </c>
      <c r="I5" s="4">
        <f>G5*10782307</f>
        <v>169616471417</v>
      </c>
    </row>
    <row r="6" spans="1:9" x14ac:dyDescent="0.35">
      <c r="A6" s="15"/>
      <c r="B6" s="15"/>
      <c r="C6" s="2">
        <v>2023</v>
      </c>
      <c r="D6" s="5">
        <v>44234022776</v>
      </c>
      <c r="E6" s="5">
        <v>114213290000</v>
      </c>
      <c r="F6" s="6">
        <f t="shared" si="0"/>
        <v>0.38729313178877872</v>
      </c>
      <c r="G6" s="14">
        <v>15416</v>
      </c>
      <c r="H6" s="4">
        <f>G6*3063961</f>
        <v>47234022776</v>
      </c>
      <c r="I6" s="4">
        <f>7408750*G6</f>
        <v>114213290000</v>
      </c>
    </row>
    <row r="7" spans="1:9" x14ac:dyDescent="0.35">
      <c r="A7" s="15">
        <v>2</v>
      </c>
      <c r="B7" s="15" t="s">
        <v>8</v>
      </c>
      <c r="C7" s="2">
        <v>2019</v>
      </c>
      <c r="D7" s="5">
        <v>8466196285654</v>
      </c>
      <c r="E7" s="5">
        <v>3408437776611</v>
      </c>
      <c r="F7" s="6">
        <f t="shared" si="0"/>
        <v>2.4838934551628853</v>
      </c>
      <c r="G7" s="14">
        <v>13901</v>
      </c>
      <c r="H7" s="4">
        <f>G7*609035054</f>
        <v>8466196285654</v>
      </c>
      <c r="I7" s="4">
        <f>G7*245193711</f>
        <v>3408437776611</v>
      </c>
    </row>
    <row r="8" spans="1:9" x14ac:dyDescent="0.35">
      <c r="A8" s="15"/>
      <c r="B8" s="15"/>
      <c r="C8" s="2">
        <v>2020</v>
      </c>
      <c r="D8" s="5">
        <v>9386708733675</v>
      </c>
      <c r="E8" s="5">
        <v>2281471676120</v>
      </c>
      <c r="F8" s="6">
        <f t="shared" si="0"/>
        <v>4.1143218352982442</v>
      </c>
      <c r="G8" s="14">
        <v>14105</v>
      </c>
      <c r="H8" s="4">
        <f>G8*665488035</f>
        <v>9386708733675</v>
      </c>
      <c r="I8" s="4">
        <f>G8*161749144</f>
        <v>2281471676120</v>
      </c>
    </row>
    <row r="9" spans="1:9" x14ac:dyDescent="0.35">
      <c r="A9" s="15"/>
      <c r="B9" s="15"/>
      <c r="C9" s="2">
        <v>2021</v>
      </c>
      <c r="D9" s="5">
        <v>9700280834298</v>
      </c>
      <c r="E9" s="5">
        <v>5092450810473</v>
      </c>
      <c r="F9" s="6">
        <f t="shared" si="0"/>
        <v>1.9048354506142029</v>
      </c>
      <c r="G9" s="14">
        <v>14269</v>
      </c>
      <c r="H9" s="4">
        <f>G9*679815042</f>
        <v>9700280834298</v>
      </c>
      <c r="I9" s="4">
        <f>G9*356889117</f>
        <v>5092450810473</v>
      </c>
    </row>
    <row r="10" spans="1:9" x14ac:dyDescent="0.35">
      <c r="A10" s="15"/>
      <c r="B10" s="15"/>
      <c r="C10" s="2">
        <v>2022</v>
      </c>
      <c r="D10" s="5">
        <v>21473716213259</v>
      </c>
      <c r="E10" s="5">
        <v>9714227177025</v>
      </c>
      <c r="F10" s="6">
        <f t="shared" si="0"/>
        <v>2.210542930686882</v>
      </c>
      <c r="G10" s="14">
        <v>15731</v>
      </c>
      <c r="H10" s="4">
        <f>G10*1365057289</f>
        <v>21473716213259</v>
      </c>
      <c r="I10" s="4">
        <f>G10*617521275</f>
        <v>9714227177025</v>
      </c>
    </row>
    <row r="11" spans="1:9" x14ac:dyDescent="0.35">
      <c r="A11" s="15"/>
      <c r="B11" s="15"/>
      <c r="C11" s="2">
        <v>2023</v>
      </c>
      <c r="D11" s="5">
        <v>21547882466048</v>
      </c>
      <c r="E11" s="5">
        <v>11699618123272</v>
      </c>
      <c r="F11" s="6">
        <f t="shared" si="0"/>
        <v>1.8417594693271717</v>
      </c>
      <c r="G11" s="14">
        <v>15416</v>
      </c>
      <c r="H11" s="4">
        <f>G11*1397760928</f>
        <v>21547882466048</v>
      </c>
      <c r="I11" s="4">
        <f>G11*758926967</f>
        <v>11699618123272</v>
      </c>
    </row>
    <row r="12" spans="1:9" x14ac:dyDescent="0.35">
      <c r="A12" s="15">
        <v>3</v>
      </c>
      <c r="B12" s="15" t="s">
        <v>9</v>
      </c>
      <c r="C12" s="2">
        <v>2019</v>
      </c>
      <c r="D12" s="5">
        <v>44384087246199</v>
      </c>
      <c r="E12" s="5">
        <v>5825613634245</v>
      </c>
      <c r="F12" s="6">
        <f t="shared" si="0"/>
        <v>7.6187831931204242</v>
      </c>
      <c r="G12" s="14">
        <v>13901</v>
      </c>
      <c r="H12" s="4">
        <f>G12*3192870099</f>
        <v>44384087246199</v>
      </c>
      <c r="I12" s="4">
        <f>G12*419078745</f>
        <v>5825613634245</v>
      </c>
    </row>
    <row r="13" spans="1:9" x14ac:dyDescent="0.35">
      <c r="A13" s="15"/>
      <c r="B13" s="15"/>
      <c r="C13" s="2">
        <v>2020</v>
      </c>
      <c r="D13" s="5">
        <v>46488842963290</v>
      </c>
      <c r="E13" s="5">
        <v>1870859399045</v>
      </c>
      <c r="F13" s="6">
        <f t="shared" si="0"/>
        <v>24.848923968856624</v>
      </c>
      <c r="G13" s="14">
        <v>14105</v>
      </c>
      <c r="H13" s="4">
        <f>3295912298*G13</f>
        <v>46488842963290</v>
      </c>
      <c r="I13" s="4">
        <f>G13*132638029</f>
        <v>1870859399045</v>
      </c>
    </row>
    <row r="14" spans="1:9" x14ac:dyDescent="0.35">
      <c r="A14" s="15"/>
      <c r="B14" s="15"/>
      <c r="C14" s="2">
        <v>2021</v>
      </c>
      <c r="D14" s="5">
        <v>51045073007131</v>
      </c>
      <c r="E14" s="5">
        <v>9224147776803</v>
      </c>
      <c r="F14" s="6">
        <f t="shared" si="0"/>
        <v>5.5338524752931404</v>
      </c>
      <c r="G14" s="14">
        <v>14269</v>
      </c>
      <c r="H14" s="4">
        <f>G14*3577340599</f>
        <v>51045073007131</v>
      </c>
      <c r="I14" s="4">
        <f>G14*646446687</f>
        <v>9224147776803</v>
      </c>
    </row>
    <row r="15" spans="1:9" x14ac:dyDescent="0.35">
      <c r="A15" s="15"/>
      <c r="B15" s="15"/>
      <c r="C15" s="2">
        <v>2022</v>
      </c>
      <c r="D15" s="5">
        <v>22462580181685</v>
      </c>
      <c r="E15" s="5">
        <v>43650002530211</v>
      </c>
      <c r="F15" s="6">
        <f t="shared" si="0"/>
        <v>0.51460661808984365</v>
      </c>
      <c r="G15" s="14">
        <v>15731</v>
      </c>
      <c r="H15" s="4">
        <f>G15*1427918135</f>
        <v>22462580181685</v>
      </c>
      <c r="I15" s="4">
        <f>G15*2774776081</f>
        <v>43650002530211</v>
      </c>
    </row>
    <row r="16" spans="1:9" x14ac:dyDescent="0.35">
      <c r="A16" s="15"/>
      <c r="B16" s="15"/>
      <c r="C16" s="2">
        <v>2023</v>
      </c>
      <c r="D16" s="5">
        <v>25737608707112</v>
      </c>
      <c r="E16" s="5">
        <v>43450123366992</v>
      </c>
      <c r="F16" s="6">
        <f t="shared" si="0"/>
        <v>0.59234834593505969</v>
      </c>
      <c r="G16" s="14">
        <v>15416</v>
      </c>
      <c r="H16" s="4">
        <f>G16*1669538707</f>
        <v>25737608707112</v>
      </c>
      <c r="I16" s="4">
        <f>G16*2818508262</f>
        <v>43450123366992</v>
      </c>
    </row>
    <row r="17" spans="1:9" x14ac:dyDescent="0.35">
      <c r="A17" s="15">
        <v>4</v>
      </c>
      <c r="B17" s="15" t="s">
        <v>10</v>
      </c>
      <c r="C17" s="2">
        <v>2019</v>
      </c>
      <c r="D17" s="5">
        <v>4511930976000</v>
      </c>
      <c r="E17" s="5">
        <v>12294947965000</v>
      </c>
      <c r="F17" s="6">
        <f t="shared" si="0"/>
        <v>0.36697438564555973</v>
      </c>
      <c r="G17" s="14">
        <v>13901</v>
      </c>
      <c r="H17" s="4">
        <f>G17*324576</f>
        <v>4511930976</v>
      </c>
      <c r="I17" s="4">
        <f>G17*884465</f>
        <v>12294947965</v>
      </c>
    </row>
    <row r="18" spans="1:9" x14ac:dyDescent="0.35">
      <c r="A18" s="15"/>
      <c r="B18" s="15"/>
      <c r="C18" s="2">
        <v>2020</v>
      </c>
      <c r="D18" s="5">
        <v>4405541595000</v>
      </c>
      <c r="E18" s="5">
        <v>11936920450000</v>
      </c>
      <c r="F18" s="6">
        <f t="shared" si="0"/>
        <v>0.3690685226104527</v>
      </c>
      <c r="G18" s="14">
        <v>14105</v>
      </c>
      <c r="H18" s="4">
        <f>G18*312339</f>
        <v>4405541595</v>
      </c>
      <c r="I18" s="4">
        <f>G18*846290</f>
        <v>11936920450</v>
      </c>
    </row>
    <row r="19" spans="1:9" x14ac:dyDescent="0.35">
      <c r="A19" s="15"/>
      <c r="B19" s="15"/>
      <c r="C19" s="2">
        <v>2021</v>
      </c>
      <c r="D19" s="5">
        <v>6630518920000</v>
      </c>
      <c r="E19" s="5">
        <v>17145045371000</v>
      </c>
      <c r="F19" s="6">
        <f t="shared" si="0"/>
        <v>0.38673090543202621</v>
      </c>
      <c r="G19" s="14">
        <v>14269</v>
      </c>
      <c r="H19" s="4">
        <f>G19*464680</f>
        <v>6630518920</v>
      </c>
      <c r="I19" s="4">
        <f>G19*1201559</f>
        <v>17145045371</v>
      </c>
    </row>
    <row r="20" spans="1:9" x14ac:dyDescent="0.35">
      <c r="A20" s="15"/>
      <c r="B20" s="15"/>
      <c r="C20" s="2">
        <v>2022</v>
      </c>
      <c r="D20" s="5">
        <v>10852769707000</v>
      </c>
      <c r="E20" s="5">
        <v>30679854680000</v>
      </c>
      <c r="F20" s="6">
        <f t="shared" si="0"/>
        <v>0.35374253953278506</v>
      </c>
      <c r="G20" s="14">
        <v>15731</v>
      </c>
      <c r="H20" s="4">
        <f>G20*689897</f>
        <v>10852769707</v>
      </c>
      <c r="I20" s="4">
        <f>G20*1950280</f>
        <v>30679854680</v>
      </c>
    </row>
    <row r="21" spans="1:9" x14ac:dyDescent="0.35">
      <c r="A21" s="15"/>
      <c r="B21" s="15"/>
      <c r="C21" s="2">
        <v>2023</v>
      </c>
      <c r="D21" s="5">
        <v>6155716712000</v>
      </c>
      <c r="E21" s="5">
        <v>27572132640000</v>
      </c>
      <c r="F21" s="6">
        <f t="shared" si="0"/>
        <v>0.2232586355351292</v>
      </c>
      <c r="G21" s="14">
        <v>15416</v>
      </c>
      <c r="H21" s="4">
        <f>G21*399307</f>
        <v>6155716712</v>
      </c>
      <c r="I21" s="4">
        <f>G21*1788540</f>
        <v>27572132640</v>
      </c>
    </row>
    <row r="22" spans="1:9" x14ac:dyDescent="0.35">
      <c r="A22" s="15">
        <v>5</v>
      </c>
      <c r="B22" s="15" t="s">
        <v>11</v>
      </c>
      <c r="C22" s="2">
        <v>2019</v>
      </c>
      <c r="D22" s="5">
        <v>526608705493</v>
      </c>
      <c r="E22" s="5">
        <v>1700077772455</v>
      </c>
      <c r="F22" s="6">
        <f t="shared" si="0"/>
        <v>0.3097556559030531</v>
      </c>
      <c r="G22" s="14">
        <v>13901</v>
      </c>
      <c r="H22" s="4">
        <f>G22*37882793</f>
        <v>526608705493</v>
      </c>
      <c r="I22" s="4">
        <f>G22*122298955</f>
        <v>1700077773455</v>
      </c>
    </row>
    <row r="23" spans="1:9" x14ac:dyDescent="0.35">
      <c r="A23" s="15"/>
      <c r="B23" s="15"/>
      <c r="C23" s="2">
        <v>2020</v>
      </c>
      <c r="D23" s="5">
        <v>311172237385</v>
      </c>
      <c r="E23" s="5">
        <v>1820218118810</v>
      </c>
      <c r="F23" s="6">
        <f t="shared" si="0"/>
        <v>0.17095326882496609</v>
      </c>
      <c r="G23" s="14">
        <v>14105</v>
      </c>
      <c r="H23" s="4">
        <f>G23*22061137</f>
        <v>311172337385</v>
      </c>
      <c r="I23" s="4">
        <f>G23*129047722</f>
        <v>1820218118810</v>
      </c>
    </row>
    <row r="24" spans="1:9" x14ac:dyDescent="0.35">
      <c r="A24" s="15"/>
      <c r="B24" s="15"/>
      <c r="C24" s="2">
        <v>2021</v>
      </c>
      <c r="D24" s="5">
        <v>333309770766</v>
      </c>
      <c r="E24" s="5">
        <v>2006372109178</v>
      </c>
      <c r="F24" s="6">
        <f t="shared" si="0"/>
        <v>0.16612560015228445</v>
      </c>
      <c r="G24" s="14">
        <v>14269</v>
      </c>
      <c r="H24" s="4">
        <f>G24*23359014</f>
        <v>333309770766</v>
      </c>
      <c r="I24" s="4">
        <f>G24*140610562</f>
        <v>2006372109178</v>
      </c>
    </row>
    <row r="25" spans="1:9" x14ac:dyDescent="0.35">
      <c r="A25" s="15"/>
      <c r="B25" s="15"/>
      <c r="C25" s="2">
        <v>2022</v>
      </c>
      <c r="D25" s="5">
        <v>327927324830</v>
      </c>
      <c r="E25" s="5">
        <v>2338292099955</v>
      </c>
      <c r="F25" s="6">
        <f t="shared" si="0"/>
        <v>0.14024224126502882</v>
      </c>
      <c r="G25" s="14">
        <v>15731</v>
      </c>
      <c r="H25" s="4">
        <f>G25*20845930</f>
        <v>327927324830</v>
      </c>
      <c r="I25" s="4">
        <f>G25*148642305</f>
        <v>2338292099955</v>
      </c>
    </row>
    <row r="26" spans="1:9" x14ac:dyDescent="0.35">
      <c r="A26" s="15"/>
      <c r="B26" s="15"/>
      <c r="C26" s="2">
        <v>2023</v>
      </c>
      <c r="D26" s="5">
        <v>1071522748544</v>
      </c>
      <c r="E26" s="5">
        <v>2755636072336</v>
      </c>
      <c r="F26" s="6">
        <f t="shared" si="0"/>
        <v>0.38884769991984164</v>
      </c>
      <c r="G26" s="14">
        <v>15416</v>
      </c>
      <c r="H26" s="4">
        <f>G26*69507184</f>
        <v>1071522748544</v>
      </c>
      <c r="I26" s="4">
        <f>G26*167205246</f>
        <v>2577636072336</v>
      </c>
    </row>
    <row r="27" spans="1:9" x14ac:dyDescent="0.35">
      <c r="A27" s="15">
        <v>6</v>
      </c>
      <c r="B27" s="15" t="s">
        <v>12</v>
      </c>
      <c r="C27" s="2">
        <v>2019</v>
      </c>
      <c r="D27" s="5">
        <v>4705224381</v>
      </c>
      <c r="E27" s="5">
        <v>2954838263</v>
      </c>
      <c r="F27" s="6">
        <f t="shared" si="0"/>
        <v>1.5923796709681366</v>
      </c>
      <c r="G27" s="14">
        <v>13901</v>
      </c>
      <c r="H27" s="4">
        <f>G27*338481</f>
        <v>4705224381</v>
      </c>
      <c r="I27" s="4">
        <f>G27*212563</f>
        <v>2954838263</v>
      </c>
    </row>
    <row r="28" spans="1:9" x14ac:dyDescent="0.35">
      <c r="A28" s="15"/>
      <c r="B28" s="15"/>
      <c r="C28" s="2">
        <v>2020</v>
      </c>
      <c r="D28" s="5">
        <v>4206788040</v>
      </c>
      <c r="E28" s="5">
        <v>3264461200</v>
      </c>
      <c r="F28" s="6">
        <f t="shared" si="0"/>
        <v>1.2886622882820602</v>
      </c>
      <c r="G28" s="14">
        <v>14105</v>
      </c>
      <c r="H28" s="4">
        <f>G28*298248</f>
        <v>4206788040</v>
      </c>
      <c r="I28" s="4">
        <f>G28*231440</f>
        <v>3264461200</v>
      </c>
    </row>
    <row r="29" spans="1:9" x14ac:dyDescent="0.35">
      <c r="A29" s="15"/>
      <c r="B29" s="15"/>
      <c r="C29" s="2">
        <v>2021</v>
      </c>
      <c r="D29" s="5">
        <v>3888487997</v>
      </c>
      <c r="E29" s="5">
        <v>3713121987</v>
      </c>
      <c r="F29" s="6">
        <f t="shared" si="0"/>
        <v>1.047228723056763</v>
      </c>
      <c r="G29" s="14">
        <v>14269</v>
      </c>
      <c r="H29" s="4">
        <f>G29*272513</f>
        <v>3888487997</v>
      </c>
      <c r="I29" s="4">
        <f>G29*260223</f>
        <v>3713121987</v>
      </c>
    </row>
    <row r="30" spans="1:9" x14ac:dyDescent="0.35">
      <c r="A30" s="15"/>
      <c r="B30" s="15"/>
      <c r="C30" s="2">
        <v>2022</v>
      </c>
      <c r="D30" s="5">
        <v>4694586599</v>
      </c>
      <c r="E30" s="5">
        <v>4687969421</v>
      </c>
      <c r="F30" s="6">
        <f t="shared" si="0"/>
        <v>1.0014115232856167</v>
      </c>
      <c r="G30" s="14">
        <v>15731</v>
      </c>
      <c r="H30" s="4">
        <f>G30*298429</f>
        <v>4694586599</v>
      </c>
      <c r="I30" s="4">
        <f>G30*297991</f>
        <v>4687696421</v>
      </c>
    </row>
    <row r="31" spans="1:9" x14ac:dyDescent="0.35">
      <c r="A31" s="15"/>
      <c r="B31" s="15"/>
      <c r="C31" s="2">
        <v>2023</v>
      </c>
      <c r="D31" s="5">
        <v>7589528040</v>
      </c>
      <c r="E31" s="5">
        <v>3632472080</v>
      </c>
      <c r="F31" s="6">
        <f t="shared" si="0"/>
        <v>2.0893561940330181</v>
      </c>
      <c r="G31" s="14">
        <v>15416</v>
      </c>
      <c r="H31" s="4">
        <f>G31*492315</f>
        <v>7589528040</v>
      </c>
      <c r="I31" s="4">
        <f>G31*235630</f>
        <v>3632472080</v>
      </c>
    </row>
    <row r="32" spans="1:9" x14ac:dyDescent="0.35">
      <c r="A32" s="15">
        <v>7</v>
      </c>
      <c r="B32" s="15" t="s">
        <v>13</v>
      </c>
      <c r="C32" s="2">
        <v>2019</v>
      </c>
      <c r="D32" s="5">
        <v>7675226000000</v>
      </c>
      <c r="E32" s="5">
        <v>18422826000000</v>
      </c>
      <c r="F32" s="6">
        <f t="shared" si="0"/>
        <v>0.41661501878159191</v>
      </c>
      <c r="G32" s="14"/>
      <c r="H32" s="4">
        <f>7675226000000</f>
        <v>7675226000000</v>
      </c>
      <c r="I32" s="4">
        <v>18422826000000</v>
      </c>
    </row>
    <row r="33" spans="1:9" x14ac:dyDescent="0.35">
      <c r="A33" s="15"/>
      <c r="B33" s="15"/>
      <c r="C33" s="2">
        <v>2020</v>
      </c>
      <c r="D33" s="5">
        <v>7117559000000</v>
      </c>
      <c r="E33" s="5">
        <v>16939196000000</v>
      </c>
      <c r="F33" s="6">
        <f t="shared" si="0"/>
        <v>0.4201828115100622</v>
      </c>
      <c r="G33" s="14"/>
      <c r="H33" s="4"/>
      <c r="I33" s="4"/>
    </row>
    <row r="34" spans="1:9" x14ac:dyDescent="0.35">
      <c r="A34" s="15"/>
      <c r="B34" s="15"/>
      <c r="C34" s="2">
        <v>2021</v>
      </c>
      <c r="D34" s="5">
        <v>11869979000000</v>
      </c>
      <c r="E34" s="5">
        <v>24253724000000</v>
      </c>
      <c r="F34" s="6">
        <f t="shared" si="0"/>
        <v>0.48940851310091599</v>
      </c>
      <c r="G34" s="14"/>
      <c r="H34" s="4"/>
      <c r="I34" s="4"/>
    </row>
    <row r="35" spans="1:9" x14ac:dyDescent="0.35">
      <c r="A35" s="15"/>
      <c r="B35" s="15"/>
      <c r="C35" s="2">
        <v>2022</v>
      </c>
      <c r="D35" s="5">
        <v>16443161000000</v>
      </c>
      <c r="E35" s="5">
        <v>28916046000000</v>
      </c>
      <c r="F35" s="6">
        <f t="shared" si="0"/>
        <v>0.5686517790157064</v>
      </c>
      <c r="G35" s="14"/>
      <c r="H35" s="4"/>
      <c r="I35" s="4"/>
    </row>
    <row r="36" spans="1:9" x14ac:dyDescent="0.35">
      <c r="A36" s="15"/>
      <c r="B36" s="15"/>
      <c r="C36" s="2">
        <v>2023</v>
      </c>
      <c r="D36" s="5">
        <v>17201993000000</v>
      </c>
      <c r="E36" s="5">
        <v>21563196000000</v>
      </c>
      <c r="F36" s="6">
        <f t="shared" si="0"/>
        <v>0.79774783849295805</v>
      </c>
      <c r="G36" s="14"/>
      <c r="H36" s="4"/>
      <c r="I36" s="4"/>
    </row>
    <row r="37" spans="1:9" x14ac:dyDescent="0.35">
      <c r="A37" s="15">
        <v>8</v>
      </c>
      <c r="B37" s="15" t="s">
        <v>14</v>
      </c>
      <c r="C37" s="2">
        <v>2019</v>
      </c>
      <c r="D37" s="5">
        <v>11342184833000</v>
      </c>
      <c r="E37" s="5">
        <v>10066861340000</v>
      </c>
      <c r="F37" s="6">
        <f t="shared" si="0"/>
        <v>1.1266853143126734</v>
      </c>
      <c r="G37" s="14"/>
      <c r="H37" s="4"/>
      <c r="I37" s="4"/>
    </row>
    <row r="38" spans="1:9" x14ac:dyDescent="0.35">
      <c r="A38" s="15"/>
      <c r="B38" s="15"/>
      <c r="C38" s="2">
        <v>2020</v>
      </c>
      <c r="D38" s="5">
        <v>8127216543000</v>
      </c>
      <c r="E38" s="5">
        <v>10556356272000</v>
      </c>
      <c r="F38" s="6">
        <f t="shared" si="0"/>
        <v>0.76988842869550322</v>
      </c>
      <c r="G38" s="14"/>
      <c r="H38" s="4"/>
      <c r="I38" s="4"/>
    </row>
    <row r="39" spans="1:9" x14ac:dyDescent="0.35">
      <c r="A39" s="15"/>
      <c r="B39" s="15"/>
      <c r="C39" s="2">
        <v>2021</v>
      </c>
      <c r="D39" s="5">
        <v>12209620623000</v>
      </c>
      <c r="E39" s="5">
        <v>11298965113000</v>
      </c>
      <c r="F39" s="6">
        <f t="shared" si="0"/>
        <v>1.0805963644362657</v>
      </c>
      <c r="G39" s="14"/>
      <c r="H39" s="4"/>
      <c r="I39" s="4"/>
    </row>
    <row r="40" spans="1:9" x14ac:dyDescent="0.35">
      <c r="A40" s="15"/>
      <c r="B40" s="15"/>
      <c r="C40" s="2">
        <v>2022</v>
      </c>
      <c r="D40" s="5">
        <v>14032797361000</v>
      </c>
      <c r="E40" s="5">
        <v>13153810775000</v>
      </c>
      <c r="F40" s="6">
        <f t="shared" si="0"/>
        <v>1.0668237213561407</v>
      </c>
      <c r="G40" s="14"/>
      <c r="H40" s="4"/>
      <c r="I40" s="4"/>
    </row>
    <row r="41" spans="1:9" x14ac:dyDescent="0.35">
      <c r="A41" s="15"/>
      <c r="B41" s="15"/>
      <c r="C41" s="2">
        <v>2023</v>
      </c>
      <c r="D41" s="5">
        <v>16212665604000</v>
      </c>
      <c r="E41" s="5">
        <v>14042957513000</v>
      </c>
      <c r="F41" s="6">
        <f t="shared" si="0"/>
        <v>1.1545050669697914</v>
      </c>
      <c r="G41" s="14"/>
      <c r="H41" s="4"/>
      <c r="I41" s="4"/>
    </row>
    <row r="42" spans="1:9" x14ac:dyDescent="0.35">
      <c r="A42" s="15">
        <v>9</v>
      </c>
      <c r="B42" s="15" t="s">
        <v>15</v>
      </c>
      <c r="C42" s="2">
        <v>2019</v>
      </c>
      <c r="D42" s="5">
        <v>35730975365147</v>
      </c>
      <c r="E42" s="5">
        <v>14537307404418</v>
      </c>
      <c r="F42" s="6">
        <f t="shared" si="0"/>
        <v>2.457881254838711</v>
      </c>
      <c r="G42" s="14">
        <v>13901</v>
      </c>
      <c r="H42" s="4">
        <f>G42*2570388847</f>
        <v>35730975362147</v>
      </c>
      <c r="I42" s="4">
        <f>G42*1045774218</f>
        <v>14537307404418</v>
      </c>
    </row>
    <row r="43" spans="1:9" x14ac:dyDescent="0.35">
      <c r="A43" s="15"/>
      <c r="B43" s="15"/>
      <c r="C43" s="2">
        <v>2020</v>
      </c>
      <c r="D43" s="5">
        <v>37045449055615</v>
      </c>
      <c r="E43" s="5">
        <v>12233229742370</v>
      </c>
      <c r="F43" s="6">
        <f t="shared" si="0"/>
        <v>3.0282639855366611</v>
      </c>
      <c r="G43" s="14">
        <v>14105</v>
      </c>
      <c r="H43" s="4">
        <f>G43*2626405463</f>
        <v>37045449055615</v>
      </c>
      <c r="I43" s="4">
        <f>G43*867297394</f>
        <v>12233229742370</v>
      </c>
    </row>
    <row r="44" spans="1:9" x14ac:dyDescent="0.35">
      <c r="A44" s="15"/>
      <c r="B44" s="15"/>
      <c r="C44" s="2">
        <v>2021</v>
      </c>
      <c r="D44" s="5">
        <v>40063976468284</v>
      </c>
      <c r="E44" s="5">
        <v>12609710285885</v>
      </c>
      <c r="F44" s="6">
        <f t="shared" si="0"/>
        <v>3.1772321139789095</v>
      </c>
      <c r="G44" s="14">
        <v>14269</v>
      </c>
      <c r="H44" s="4">
        <f>G44*2807763436</f>
        <v>40063976468284</v>
      </c>
      <c r="I44" s="4">
        <f>G44*883713665</f>
        <v>12609710285885</v>
      </c>
    </row>
    <row r="45" spans="1:9" x14ac:dyDescent="0.35">
      <c r="A45" s="15"/>
      <c r="B45" s="15"/>
      <c r="C45" s="2">
        <v>2022</v>
      </c>
      <c r="D45" s="5">
        <v>35452924480749</v>
      </c>
      <c r="E45" s="5">
        <v>21082276611953</v>
      </c>
      <c r="F45" s="6">
        <f t="shared" si="0"/>
        <v>1.6816459215153399</v>
      </c>
      <c r="G45" s="14">
        <v>15731</v>
      </c>
      <c r="H45" s="4">
        <f>G45*2253698079</f>
        <v>35452924480749</v>
      </c>
      <c r="I45" s="4">
        <f>G45*1340173963</f>
        <v>21082276611953</v>
      </c>
    </row>
    <row r="46" spans="1:9" x14ac:dyDescent="0.35">
      <c r="A46" s="15"/>
      <c r="B46" s="15"/>
      <c r="C46" s="2">
        <v>2023</v>
      </c>
      <c r="D46" s="5">
        <v>21761635515040</v>
      </c>
      <c r="E46" s="5">
        <v>21229950929200</v>
      </c>
      <c r="F46" s="6">
        <f t="shared" si="0"/>
        <v>1.0250440798291585</v>
      </c>
      <c r="G46" s="14">
        <v>15416</v>
      </c>
      <c r="H46" s="4">
        <f>G46*1735964940</f>
        <v>26761635515040</v>
      </c>
      <c r="I46" s="4">
        <f>G46*1377137450</f>
        <v>21229950929200</v>
      </c>
    </row>
    <row r="47" spans="1:9" x14ac:dyDescent="0.35">
      <c r="A47" s="15">
        <v>10</v>
      </c>
      <c r="B47" s="15" t="s">
        <v>16</v>
      </c>
      <c r="C47" s="2">
        <v>2019</v>
      </c>
      <c r="D47" s="5">
        <v>57541970034775</v>
      </c>
      <c r="E47" s="5">
        <v>44960016546781</v>
      </c>
      <c r="F47" s="6">
        <f t="shared" si="0"/>
        <v>1.2798476169354263</v>
      </c>
      <c r="G47" s="14">
        <v>13901</v>
      </c>
      <c r="H47" s="4">
        <f>G47*4139412275</f>
        <v>57541970034775</v>
      </c>
      <c r="I47" s="4">
        <f>G47*3234300881</f>
        <v>44960016546781</v>
      </c>
    </row>
    <row r="48" spans="1:9" x14ac:dyDescent="0.35">
      <c r="A48" s="15"/>
      <c r="B48" s="15"/>
      <c r="C48" s="2">
        <v>2020</v>
      </c>
      <c r="D48" s="5">
        <v>64580413051700</v>
      </c>
      <c r="E48" s="5">
        <v>41686464767675</v>
      </c>
      <c r="F48" s="6">
        <f t="shared" si="0"/>
        <v>1.5491938069494846</v>
      </c>
      <c r="G48" s="14">
        <v>14105</v>
      </c>
      <c r="H48" s="4">
        <f>G48*4578547540</f>
        <v>64580413051700</v>
      </c>
      <c r="I48" s="4">
        <f>G48*2955438835</f>
        <v>41686464767675</v>
      </c>
    </row>
    <row r="49" spans="1:9" x14ac:dyDescent="0.35">
      <c r="A49" s="15"/>
      <c r="B49" s="15"/>
      <c r="C49" s="2">
        <v>2021</v>
      </c>
      <c r="D49" s="5">
        <v>60301141364536</v>
      </c>
      <c r="E49" s="5">
        <v>46872588518102</v>
      </c>
      <c r="F49" s="6">
        <f t="shared" si="0"/>
        <v>1.2864905325475666</v>
      </c>
      <c r="G49" s="14">
        <v>14269</v>
      </c>
      <c r="H49" s="4">
        <f>G49*4226024344</f>
        <v>60301141364536</v>
      </c>
      <c r="I49" s="4">
        <f>G49*3284924558</f>
        <v>46872588518102</v>
      </c>
    </row>
    <row r="50" spans="1:9" x14ac:dyDescent="0.35">
      <c r="A50" s="15"/>
      <c r="B50" s="15"/>
      <c r="C50" s="2">
        <v>2022</v>
      </c>
      <c r="D50" s="5">
        <v>59039848470464</v>
      </c>
      <c r="E50" s="5">
        <v>54142493906378</v>
      </c>
      <c r="F50" s="6">
        <f t="shared" si="0"/>
        <v>1.0904530658036256</v>
      </c>
      <c r="G50" s="14">
        <v>15731</v>
      </c>
      <c r="H50" s="4">
        <f>G50*3753089344</f>
        <v>59039848470464</v>
      </c>
      <c r="I50" s="4">
        <f>G50*3441770638</f>
        <v>54142493906378</v>
      </c>
    </row>
    <row r="51" spans="1:9" x14ac:dyDescent="0.35">
      <c r="A51" s="15"/>
      <c r="B51" s="15"/>
      <c r="C51" s="2">
        <v>2023</v>
      </c>
      <c r="D51" s="5">
        <v>47155001747440</v>
      </c>
      <c r="E51" s="5">
        <v>54578858490664</v>
      </c>
      <c r="F51" s="6">
        <f t="shared" si="0"/>
        <v>0.86397925957916677</v>
      </c>
      <c r="G51" s="14">
        <v>15416</v>
      </c>
      <c r="H51" s="4">
        <f>G51*3058835090</f>
        <v>47155001747440</v>
      </c>
      <c r="I51" s="4">
        <f>G51*3540403379</f>
        <v>54578858490664</v>
      </c>
    </row>
    <row r="52" spans="1:9" x14ac:dyDescent="0.35">
      <c r="A52" s="15">
        <v>11</v>
      </c>
      <c r="B52" s="15" t="s">
        <v>17</v>
      </c>
      <c r="C52" s="2">
        <v>2019</v>
      </c>
      <c r="D52" s="5">
        <v>642985347511</v>
      </c>
      <c r="E52" s="5">
        <v>2389315264919</v>
      </c>
      <c r="F52" s="6">
        <f t="shared" si="0"/>
        <v>0.26910862578563816</v>
      </c>
      <c r="G52" s="14">
        <v>13901</v>
      </c>
      <c r="H52" s="4">
        <f>G52*46254611</f>
        <v>642985347511</v>
      </c>
      <c r="I52" s="4">
        <f>G52*171880819</f>
        <v>2389315264919</v>
      </c>
    </row>
    <row r="53" spans="1:9" x14ac:dyDescent="0.35">
      <c r="A53" s="15"/>
      <c r="B53" s="15"/>
      <c r="C53" s="2">
        <v>2020</v>
      </c>
      <c r="D53" s="5">
        <v>536748778475</v>
      </c>
      <c r="E53" s="5">
        <v>2211738262825</v>
      </c>
      <c r="F53" s="6">
        <f t="shared" si="0"/>
        <v>0.24268187040785907</v>
      </c>
      <c r="G53" s="14">
        <v>14105</v>
      </c>
      <c r="H53" s="4">
        <f>G53*38053795</f>
        <v>536748778475</v>
      </c>
      <c r="I53" s="4">
        <f>G53*156805265</f>
        <v>2211738262825</v>
      </c>
    </row>
    <row r="54" spans="1:9" x14ac:dyDescent="0.35">
      <c r="A54" s="15"/>
      <c r="B54" s="15"/>
      <c r="C54" s="2">
        <v>2021</v>
      </c>
      <c r="D54" s="5">
        <v>121744534900</v>
      </c>
      <c r="E54" s="5">
        <v>2412987568965</v>
      </c>
      <c r="F54" s="6">
        <f t="shared" si="0"/>
        <v>5.0453859135386983E-2</v>
      </c>
      <c r="G54" s="14">
        <v>14269</v>
      </c>
      <c r="H54" s="4">
        <f>G54*8532100</f>
        <v>121744534900</v>
      </c>
      <c r="I54" s="4">
        <f>G54*169106985</f>
        <v>2412987568965</v>
      </c>
    </row>
    <row r="55" spans="1:9" x14ac:dyDescent="0.35">
      <c r="A55" s="15"/>
      <c r="B55" s="15"/>
      <c r="C55" s="2">
        <v>2022</v>
      </c>
      <c r="D55" s="5">
        <v>391469757633</v>
      </c>
      <c r="E55" s="5">
        <v>2927674842799</v>
      </c>
      <c r="F55" s="6">
        <f t="shared" si="0"/>
        <v>0.13371353673235645</v>
      </c>
      <c r="G55" s="14">
        <v>15731</v>
      </c>
      <c r="H55" s="4">
        <f>G55*24885243</f>
        <v>391469757633</v>
      </c>
      <c r="I55" s="4">
        <f>G55*186108629</f>
        <v>2927674842799</v>
      </c>
    </row>
    <row r="56" spans="1:9" x14ac:dyDescent="0.35">
      <c r="A56" s="15"/>
      <c r="B56" s="15"/>
      <c r="C56" s="2">
        <v>2023</v>
      </c>
      <c r="D56" s="5">
        <v>558881258200</v>
      </c>
      <c r="E56" s="5">
        <v>3249920740976</v>
      </c>
      <c r="F56" s="6">
        <f t="shared" si="0"/>
        <v>0.17196765790422308</v>
      </c>
      <c r="G56" s="14">
        <v>15416</v>
      </c>
      <c r="H56" s="4">
        <f>G56*36253325</f>
        <v>558881258200</v>
      </c>
      <c r="I56" s="4">
        <f>G56*210814786</f>
        <v>3249920740976</v>
      </c>
    </row>
    <row r="57" spans="1:9" x14ac:dyDescent="0.35">
      <c r="A57" s="15">
        <v>12</v>
      </c>
      <c r="B57" s="15" t="s">
        <v>18</v>
      </c>
      <c r="C57" s="2">
        <v>2019</v>
      </c>
      <c r="D57" s="5">
        <v>64643710384793</v>
      </c>
      <c r="E57" s="5">
        <v>18853179774597</v>
      </c>
      <c r="F57" s="6">
        <f t="shared" si="0"/>
        <v>3.4287961584016036</v>
      </c>
      <c r="G57" s="14">
        <v>13901</v>
      </c>
      <c r="H57" s="4">
        <f>G57*4650292093</f>
        <v>64643710384793</v>
      </c>
      <c r="I57" s="4">
        <f>G57*1356246297</f>
        <v>18853179774597</v>
      </c>
    </row>
    <row r="58" spans="1:9" x14ac:dyDescent="0.35">
      <c r="A58" s="15"/>
      <c r="B58" s="15"/>
      <c r="C58" s="2">
        <v>2020</v>
      </c>
      <c r="D58" s="5">
        <v>66116312863055</v>
      </c>
      <c r="E58" s="5">
        <v>16859776982685</v>
      </c>
      <c r="F58" s="6">
        <f t="shared" si="0"/>
        <v>3.9215413662325718</v>
      </c>
      <c r="G58" s="14">
        <v>14105</v>
      </c>
      <c r="H58" s="4">
        <f>G58*4687437991</f>
        <v>66116312863055</v>
      </c>
      <c r="I58" s="4">
        <f>G58*1195304997</f>
        <v>16859776982685</v>
      </c>
    </row>
    <row r="59" spans="1:9" x14ac:dyDescent="0.35">
      <c r="A59" s="15"/>
      <c r="B59" s="15"/>
      <c r="C59" s="2">
        <v>2021</v>
      </c>
      <c r="D59" s="5">
        <v>63561940817382</v>
      </c>
      <c r="E59" s="5">
        <v>16114501962009</v>
      </c>
      <c r="F59" s="6">
        <f t="shared" si="0"/>
        <v>3.9443937496320682</v>
      </c>
      <c r="G59" s="14">
        <v>14269</v>
      </c>
      <c r="H59" s="4">
        <f>G59*4454547678</f>
        <v>63561940817382</v>
      </c>
      <c r="I59" s="4">
        <f>G59*1129336461</f>
        <v>16114501962009</v>
      </c>
    </row>
    <row r="60" spans="1:9" x14ac:dyDescent="0.35">
      <c r="A60" s="15"/>
      <c r="B60" s="15"/>
      <c r="C60" s="2">
        <v>2022</v>
      </c>
      <c r="D60" s="5">
        <v>81555584047231</v>
      </c>
      <c r="E60" s="5">
        <v>27490226501575</v>
      </c>
      <c r="F60" s="6">
        <f t="shared" si="0"/>
        <v>2.9667119709820664</v>
      </c>
      <c r="G60" s="14">
        <v>15731</v>
      </c>
      <c r="H60" s="4">
        <f>G60*5184386501</f>
        <v>81555584047231</v>
      </c>
      <c r="I60" s="4">
        <f>G60*1747519325</f>
        <v>27490226501575</v>
      </c>
    </row>
    <row r="61" spans="1:9" x14ac:dyDescent="0.35">
      <c r="A61" s="15"/>
      <c r="B61" s="15"/>
      <c r="C61" s="2">
        <v>2023</v>
      </c>
      <c r="D61" s="5">
        <v>83874143790232</v>
      </c>
      <c r="E61" s="5">
        <v>31257419812672</v>
      </c>
      <c r="F61" s="6">
        <f t="shared" si="0"/>
        <v>2.6833354861948258</v>
      </c>
      <c r="G61" s="14">
        <v>15416</v>
      </c>
      <c r="H61" s="4">
        <f>G61*5440720277</f>
        <v>83874143790232</v>
      </c>
      <c r="I61" s="4">
        <f>G61*2027595992</f>
        <v>31257419812672</v>
      </c>
    </row>
    <row r="62" spans="1:9" x14ac:dyDescent="0.35">
      <c r="A62" s="15">
        <v>13</v>
      </c>
      <c r="B62" s="15" t="s">
        <v>19</v>
      </c>
      <c r="C62" s="2">
        <v>2019</v>
      </c>
      <c r="D62" s="5">
        <v>4382367581</v>
      </c>
      <c r="E62" s="5">
        <v>3256490435</v>
      </c>
      <c r="F62" s="6">
        <f t="shared" si="0"/>
        <v>1.3457332881740831</v>
      </c>
      <c r="G62" s="14">
        <v>13901</v>
      </c>
      <c r="H62" s="4">
        <f>G62*315255563</f>
        <v>4382367581263</v>
      </c>
      <c r="I62" s="4">
        <f>G62*234263034</f>
        <v>3256490435634</v>
      </c>
    </row>
    <row r="63" spans="1:9" x14ac:dyDescent="0.35">
      <c r="A63" s="15"/>
      <c r="B63" s="15"/>
      <c r="C63" s="2">
        <v>2020</v>
      </c>
      <c r="D63" s="5">
        <v>3966880129</v>
      </c>
      <c r="E63" s="5">
        <v>3799890921</v>
      </c>
      <c r="F63" s="6">
        <f t="shared" si="0"/>
        <v>1.0439457898849513</v>
      </c>
      <c r="G63" s="14">
        <v>14105</v>
      </c>
      <c r="H63" s="4">
        <f>G63*281239286</f>
        <v>3966880129030</v>
      </c>
      <c r="I63" s="4">
        <f>G63*269400278</f>
        <v>3799890921190</v>
      </c>
    </row>
    <row r="64" spans="1:9" x14ac:dyDescent="0.35">
      <c r="A64" s="15"/>
      <c r="B64" s="15"/>
      <c r="C64" s="2">
        <v>2021</v>
      </c>
      <c r="D64" s="5">
        <v>4175735595</v>
      </c>
      <c r="E64" s="5">
        <v>3864797361</v>
      </c>
      <c r="F64" s="6">
        <f t="shared" si="0"/>
        <v>1.0804539552675398</v>
      </c>
      <c r="G64" s="14">
        <v>14269</v>
      </c>
      <c r="H64" s="4">
        <f>G64*292643885</f>
        <v>4175735595065</v>
      </c>
      <c r="I64" s="4">
        <f>G64*270852713</f>
        <v>3864797361797</v>
      </c>
    </row>
    <row r="65" spans="1:9" x14ac:dyDescent="0.35">
      <c r="A65" s="15"/>
      <c r="B65" s="15"/>
      <c r="C65" s="2">
        <v>2022</v>
      </c>
      <c r="D65" s="5">
        <v>4622759324</v>
      </c>
      <c r="E65" s="5">
        <v>3997376802</v>
      </c>
      <c r="F65" s="6">
        <f t="shared" si="0"/>
        <v>1.1564482291704659</v>
      </c>
      <c r="G65" s="14">
        <v>15731</v>
      </c>
      <c r="H65" s="4">
        <f>G65*293863030</f>
        <v>4622759324930</v>
      </c>
      <c r="I65" s="4">
        <f>G65*254108245</f>
        <v>3997376802095</v>
      </c>
    </row>
    <row r="66" spans="1:9" x14ac:dyDescent="0.35">
      <c r="A66" s="15"/>
      <c r="B66" s="15"/>
      <c r="C66" s="2">
        <v>2023</v>
      </c>
      <c r="D66" s="5">
        <v>4848304165</v>
      </c>
      <c r="E66" s="5">
        <v>3289314890</v>
      </c>
      <c r="F66" s="6">
        <f t="shared" si="0"/>
        <v>1.4739556190681398</v>
      </c>
      <c r="G66" s="14">
        <v>15416</v>
      </c>
      <c r="H66" s="14">
        <v>4848304165</v>
      </c>
      <c r="I66" s="14">
        <v>3289314890</v>
      </c>
    </row>
    <row r="67" spans="1:9" x14ac:dyDescent="0.35">
      <c r="A67" s="15">
        <v>14</v>
      </c>
      <c r="B67" s="15" t="s">
        <v>20</v>
      </c>
      <c r="C67" s="2">
        <v>2019</v>
      </c>
      <c r="D67" s="5">
        <v>3228339000000</v>
      </c>
      <c r="E67" s="5">
        <v>3576698000000</v>
      </c>
      <c r="F67" s="6">
        <f t="shared" ref="F67:F125" si="1">D67/E67</f>
        <v>0.90260318315943922</v>
      </c>
      <c r="G67" s="14"/>
      <c r="H67" s="4"/>
    </row>
    <row r="68" spans="1:9" x14ac:dyDescent="0.35">
      <c r="A68" s="15"/>
      <c r="B68" s="15"/>
      <c r="C68" s="2">
        <v>2020</v>
      </c>
      <c r="D68" s="5">
        <v>3821876000000</v>
      </c>
      <c r="E68" s="5">
        <v>3740946000000</v>
      </c>
      <c r="F68" s="6">
        <f t="shared" si="1"/>
        <v>1.0216335654136681</v>
      </c>
      <c r="G68" s="14"/>
    </row>
    <row r="69" spans="1:9" x14ac:dyDescent="0.35">
      <c r="A69" s="15"/>
      <c r="B69" s="15"/>
      <c r="C69" s="2">
        <v>2021</v>
      </c>
      <c r="D69" s="5">
        <v>3456723000000</v>
      </c>
      <c r="E69" s="5">
        <v>3778134000000</v>
      </c>
      <c r="F69" s="6">
        <f t="shared" si="1"/>
        <v>0.91492863937594593</v>
      </c>
      <c r="G69" s="14"/>
    </row>
    <row r="70" spans="1:9" x14ac:dyDescent="0.35">
      <c r="A70" s="15"/>
      <c r="B70" s="15"/>
      <c r="C70" s="2">
        <v>2022</v>
      </c>
      <c r="D70" s="5">
        <v>4718878000000</v>
      </c>
      <c r="E70" s="5">
        <v>4117211000000</v>
      </c>
      <c r="F70" s="6">
        <f t="shared" si="1"/>
        <v>1.1461346042260161</v>
      </c>
      <c r="G70" s="14"/>
    </row>
    <row r="71" spans="1:9" x14ac:dyDescent="0.35">
      <c r="A71" s="15"/>
      <c r="B71" s="15"/>
      <c r="C71" s="2">
        <v>2023</v>
      </c>
      <c r="D71" s="5">
        <v>5185414000000</v>
      </c>
      <c r="E71" s="5">
        <v>4416068000000</v>
      </c>
      <c r="F71" s="6">
        <f t="shared" si="1"/>
        <v>1.1742151615418965</v>
      </c>
      <c r="G71" s="14"/>
    </row>
    <row r="72" spans="1:9" x14ac:dyDescent="0.35">
      <c r="A72" s="15">
        <v>15</v>
      </c>
      <c r="B72" s="15" t="s">
        <v>21</v>
      </c>
      <c r="C72" s="2">
        <v>2019</v>
      </c>
      <c r="D72" s="5">
        <v>1285912630545</v>
      </c>
      <c r="E72" s="5">
        <v>2157972890680</v>
      </c>
      <c r="F72" s="6">
        <f t="shared" si="1"/>
        <v>0.59588914953412386</v>
      </c>
      <c r="G72" s="14">
        <v>13901</v>
      </c>
      <c r="H72" s="4">
        <f>92505045*G72</f>
        <v>1285912630545</v>
      </c>
      <c r="I72" s="4">
        <f>G72*155238680</f>
        <v>2157972890680</v>
      </c>
    </row>
    <row r="73" spans="1:9" x14ac:dyDescent="0.35">
      <c r="A73" s="15"/>
      <c r="B73" s="15"/>
      <c r="C73" s="2">
        <v>2020</v>
      </c>
      <c r="D73" s="5">
        <v>1126975846360</v>
      </c>
      <c r="E73" s="5">
        <v>1980544519590</v>
      </c>
      <c r="F73" s="6">
        <f t="shared" si="1"/>
        <v>0.56902323336478167</v>
      </c>
      <c r="G73" s="14">
        <v>14105</v>
      </c>
      <c r="H73" s="4">
        <f>G73*79899032</f>
        <v>1126975846360</v>
      </c>
      <c r="I73" s="4">
        <f>G73*140414358</f>
        <v>1980544519590</v>
      </c>
    </row>
    <row r="74" spans="1:9" x14ac:dyDescent="0.35">
      <c r="A74" s="15"/>
      <c r="B74" s="15"/>
      <c r="C74" s="2">
        <v>2021</v>
      </c>
      <c r="D74" s="5">
        <v>600951705755</v>
      </c>
      <c r="E74" s="5">
        <v>2196935446049</v>
      </c>
      <c r="F74" s="6">
        <f t="shared" si="1"/>
        <v>0.27354090300457401</v>
      </c>
      <c r="G74" s="14">
        <v>14269</v>
      </c>
      <c r="H74" s="4">
        <f>G74*42115895</f>
        <v>600951705755</v>
      </c>
      <c r="I74" s="4">
        <f>G74*153965621</f>
        <v>2196935446049</v>
      </c>
    </row>
    <row r="75" spans="1:9" x14ac:dyDescent="0.35">
      <c r="A75" s="15"/>
      <c r="B75" s="15"/>
      <c r="C75" s="2">
        <v>2022</v>
      </c>
      <c r="D75" s="5">
        <v>532294707879</v>
      </c>
      <c r="E75" s="5">
        <v>2447876165137</v>
      </c>
      <c r="F75" s="6">
        <f t="shared" si="1"/>
        <v>0.21745164868224007</v>
      </c>
      <c r="G75" s="14">
        <v>15731</v>
      </c>
      <c r="H75" s="4">
        <f>G75*33837309</f>
        <v>532294707879</v>
      </c>
      <c r="I75" s="4">
        <f>G75*155608427</f>
        <v>2447876165137</v>
      </c>
    </row>
    <row r="76" spans="1:9" x14ac:dyDescent="0.35">
      <c r="A76" s="15"/>
      <c r="B76" s="15"/>
      <c r="C76" s="2">
        <v>2023</v>
      </c>
      <c r="D76" s="5">
        <v>506815151888</v>
      </c>
      <c r="E76" s="5">
        <v>2496151042832</v>
      </c>
      <c r="F76" s="6">
        <f t="shared" si="1"/>
        <v>0.20303865559072681</v>
      </c>
      <c r="G76" s="14">
        <v>15416</v>
      </c>
      <c r="H76" s="4">
        <f>G76*32875918</f>
        <v>506815151888</v>
      </c>
      <c r="I76" s="4">
        <f>G76*161919502</f>
        <v>2496151042832</v>
      </c>
    </row>
    <row r="77" spans="1:9" x14ac:dyDescent="0.35">
      <c r="A77" s="15">
        <v>16</v>
      </c>
      <c r="B77" s="15" t="s">
        <v>22</v>
      </c>
      <c r="C77" s="2">
        <v>2019</v>
      </c>
      <c r="D77" s="5">
        <v>759481871753</v>
      </c>
      <c r="E77" s="5">
        <v>1231120935480</v>
      </c>
      <c r="F77" s="6">
        <f t="shared" si="1"/>
        <v>0.61690273462605583</v>
      </c>
      <c r="G77" s="14">
        <v>13901</v>
      </c>
      <c r="H77" s="4">
        <f>G77*54635053</f>
        <v>759481871753</v>
      </c>
      <c r="I77" s="4">
        <f>G77*88563480</f>
        <v>1231120935480</v>
      </c>
    </row>
    <row r="78" spans="1:9" x14ac:dyDescent="0.35">
      <c r="A78" s="15"/>
      <c r="B78" s="15"/>
      <c r="C78" s="2">
        <v>2020</v>
      </c>
      <c r="D78" s="5">
        <v>737761982685</v>
      </c>
      <c r="E78" s="5">
        <v>1333358288080</v>
      </c>
      <c r="F78" s="6">
        <f t="shared" si="1"/>
        <v>0.55331113120941966</v>
      </c>
      <c r="G78" s="14">
        <v>14105</v>
      </c>
      <c r="H78" s="4">
        <f>G78*52304997</f>
        <v>737761982685</v>
      </c>
      <c r="I78" s="4">
        <f>G78*94530896</f>
        <v>1333358288080</v>
      </c>
    </row>
    <row r="79" spans="1:9" x14ac:dyDescent="0.35">
      <c r="A79" s="15"/>
      <c r="B79" s="15"/>
      <c r="C79" s="2">
        <v>2021</v>
      </c>
      <c r="D79" s="5">
        <v>664653772747</v>
      </c>
      <c r="E79" s="5">
        <v>1636024851603</v>
      </c>
      <c r="F79" s="6">
        <f t="shared" si="1"/>
        <v>0.40626141595328635</v>
      </c>
      <c r="G79" s="14">
        <v>14269</v>
      </c>
      <c r="H79" s="4">
        <f>G79*46580263</f>
        <v>664653772747</v>
      </c>
      <c r="I79" s="4">
        <f>G79*114655887</f>
        <v>1636024851603</v>
      </c>
    </row>
    <row r="80" spans="1:9" x14ac:dyDescent="0.35">
      <c r="A80" s="15"/>
      <c r="B80" s="15"/>
      <c r="C80" s="2">
        <v>2022</v>
      </c>
      <c r="D80" s="5">
        <v>526663450347</v>
      </c>
      <c r="E80" s="5">
        <v>2294761355410</v>
      </c>
      <c r="F80" s="6">
        <f t="shared" si="1"/>
        <v>0.2295068500719554</v>
      </c>
      <c r="G80" s="14">
        <v>15731</v>
      </c>
      <c r="H80" s="4">
        <f>G80*33479337</f>
        <v>526663450347</v>
      </c>
      <c r="I80" s="4">
        <f>G80*145875110</f>
        <v>2294761355410</v>
      </c>
    </row>
    <row r="81" spans="1:9" x14ac:dyDescent="0.35">
      <c r="A81" s="15"/>
      <c r="B81" s="15"/>
      <c r="C81" s="2">
        <v>2023</v>
      </c>
      <c r="D81" s="5">
        <v>543457796856</v>
      </c>
      <c r="E81" s="5">
        <v>2599432461832</v>
      </c>
      <c r="F81" s="6">
        <f t="shared" si="1"/>
        <v>0.20906786571134364</v>
      </c>
      <c r="G81" s="14">
        <v>15416</v>
      </c>
      <c r="H81" s="4">
        <f>G81*35252841</f>
        <v>543457796856</v>
      </c>
      <c r="I81" s="4">
        <f>G81*168619127</f>
        <v>2599432461832</v>
      </c>
    </row>
    <row r="82" spans="1:9" x14ac:dyDescent="0.35">
      <c r="A82" s="15">
        <v>17</v>
      </c>
      <c r="B82" s="15" t="s">
        <v>23</v>
      </c>
      <c r="C82" s="2">
        <v>2019</v>
      </c>
      <c r="D82" s="5">
        <v>659163748341</v>
      </c>
      <c r="E82" s="5">
        <v>5554610414213</v>
      </c>
      <c r="F82" s="6">
        <f t="shared" si="1"/>
        <v>0.11866966343028272</v>
      </c>
      <c r="G82" s="14"/>
    </row>
    <row r="83" spans="1:9" x14ac:dyDescent="0.35">
      <c r="A83" s="15"/>
      <c r="B83" s="15"/>
      <c r="C83" s="2">
        <v>2020</v>
      </c>
      <c r="D83" s="5">
        <v>619288459790</v>
      </c>
      <c r="E83" s="5">
        <v>6414906296890</v>
      </c>
      <c r="F83" s="6">
        <f t="shared" si="1"/>
        <v>9.6538972064211789E-2</v>
      </c>
      <c r="G83" s="14"/>
    </row>
    <row r="84" spans="1:9" x14ac:dyDescent="0.35">
      <c r="A84" s="15"/>
      <c r="B84" s="15"/>
      <c r="C84" s="2">
        <v>2021</v>
      </c>
      <c r="D84" s="5">
        <v>3195554621574</v>
      </c>
      <c r="E84" s="5">
        <v>9284420974557</v>
      </c>
      <c r="F84" s="6">
        <f t="shared" si="1"/>
        <v>0.34418458946778574</v>
      </c>
      <c r="G84" s="14"/>
    </row>
    <row r="85" spans="1:9" x14ac:dyDescent="0.35">
      <c r="A85" s="15"/>
      <c r="B85" s="15"/>
      <c r="C85" s="2">
        <v>2022</v>
      </c>
      <c r="D85" s="5">
        <v>4507456144581</v>
      </c>
      <c r="E85" s="5">
        <v>15609438776155</v>
      </c>
      <c r="F85" s="6">
        <f t="shared" si="1"/>
        <v>0.28876477938890388</v>
      </c>
      <c r="G85" s="14"/>
    </row>
    <row r="86" spans="1:9" x14ac:dyDescent="0.35">
      <c r="A86" s="15"/>
      <c r="B86" s="15"/>
      <c r="C86" s="2">
        <v>2023</v>
      </c>
      <c r="D86" s="5">
        <v>7066490014672</v>
      </c>
      <c r="E86" s="5">
        <v>18109490457200</v>
      </c>
      <c r="F86" s="6">
        <f t="shared" si="1"/>
        <v>0.39020921275355341</v>
      </c>
      <c r="G86" s="14"/>
    </row>
    <row r="87" spans="1:9" x14ac:dyDescent="0.35">
      <c r="A87" s="15">
        <v>18</v>
      </c>
      <c r="B87" s="15" t="s">
        <v>24</v>
      </c>
      <c r="C87" s="2">
        <v>2019</v>
      </c>
      <c r="D87" s="5">
        <v>651774782999</v>
      </c>
      <c r="E87" s="5">
        <v>2024547061390</v>
      </c>
      <c r="F87" s="6">
        <f t="shared" si="1"/>
        <v>0.32193609890772745</v>
      </c>
      <c r="G87" s="14"/>
    </row>
    <row r="88" spans="1:9" x14ac:dyDescent="0.35">
      <c r="A88" s="15"/>
      <c r="B88" s="15"/>
      <c r="C88" s="2">
        <v>2020</v>
      </c>
      <c r="D88" s="5">
        <v>617135021230</v>
      </c>
      <c r="E88" s="5">
        <v>1960216647480</v>
      </c>
      <c r="F88" s="6">
        <f t="shared" si="1"/>
        <v>0.31483000719505755</v>
      </c>
      <c r="G88" s="14"/>
    </row>
    <row r="89" spans="1:9" x14ac:dyDescent="0.35">
      <c r="A89" s="15"/>
      <c r="B89" s="15"/>
      <c r="C89" s="2">
        <v>2021</v>
      </c>
      <c r="D89" s="5">
        <v>823846085282</v>
      </c>
      <c r="E89" s="5">
        <v>2853566858809</v>
      </c>
      <c r="F89" s="6">
        <f t="shared" si="1"/>
        <v>0.28870747595724833</v>
      </c>
      <c r="G89" s="14"/>
    </row>
    <row r="90" spans="1:9" x14ac:dyDescent="0.35">
      <c r="A90" s="15"/>
      <c r="B90" s="15"/>
      <c r="C90" s="2">
        <v>2022</v>
      </c>
      <c r="D90" s="5">
        <v>885372315041</v>
      </c>
      <c r="E90" s="5">
        <v>3936930670560</v>
      </c>
      <c r="F90" s="6">
        <f t="shared" si="1"/>
        <v>0.22488897802080476</v>
      </c>
      <c r="G90" s="14"/>
    </row>
    <row r="91" spans="1:9" x14ac:dyDescent="0.35">
      <c r="A91" s="15"/>
      <c r="B91" s="15"/>
      <c r="C91" s="2">
        <v>2023</v>
      </c>
      <c r="D91" s="5">
        <v>874285314848</v>
      </c>
      <c r="E91" s="5">
        <v>2663696678552</v>
      </c>
      <c r="F91" s="6">
        <f t="shared" si="1"/>
        <v>0.32822254946958385</v>
      </c>
      <c r="G91" s="14"/>
    </row>
    <row r="92" spans="1:9" x14ac:dyDescent="0.35">
      <c r="A92" s="15">
        <v>19</v>
      </c>
      <c r="B92" s="15" t="s">
        <v>25</v>
      </c>
      <c r="C92" s="2">
        <v>2019</v>
      </c>
      <c r="D92" s="5">
        <v>587150438000000</v>
      </c>
      <c r="E92" s="5">
        <v>498031127000000</v>
      </c>
      <c r="F92" s="6">
        <f t="shared" si="1"/>
        <v>1.1789432550869456</v>
      </c>
      <c r="G92" s="14"/>
    </row>
    <row r="93" spans="1:9" x14ac:dyDescent="0.35">
      <c r="A93" s="15"/>
      <c r="B93" s="15"/>
      <c r="C93" s="2">
        <v>2020</v>
      </c>
      <c r="D93" s="5">
        <v>654866940000000</v>
      </c>
      <c r="E93" s="5">
        <v>492871015000000</v>
      </c>
      <c r="F93" s="6">
        <f t="shared" si="1"/>
        <v>1.3286781329593911</v>
      </c>
      <c r="G93" s="14"/>
    </row>
    <row r="94" spans="1:9" x14ac:dyDescent="0.35">
      <c r="A94" s="15"/>
      <c r="B94" s="15"/>
      <c r="C94" s="2">
        <v>2021</v>
      </c>
      <c r="D94" s="5">
        <v>731571630000000</v>
      </c>
      <c r="E94" s="5">
        <v>451371277000000</v>
      </c>
      <c r="F94" s="6">
        <f t="shared" si="1"/>
        <v>1.6207757721366927</v>
      </c>
      <c r="G94" s="14"/>
    </row>
    <row r="95" spans="1:9" x14ac:dyDescent="0.35">
      <c r="A95" s="15"/>
      <c r="B95" s="15"/>
      <c r="C95" s="2">
        <v>2022</v>
      </c>
      <c r="D95" s="5">
        <v>897988404000000</v>
      </c>
      <c r="E95" s="5">
        <v>878183075000000</v>
      </c>
      <c r="F95" s="6">
        <f t="shared" si="1"/>
        <v>1.0225526197939991</v>
      </c>
      <c r="G95" s="14"/>
    </row>
    <row r="96" spans="1:9" x14ac:dyDescent="0.35">
      <c r="A96" s="15"/>
      <c r="B96" s="15"/>
      <c r="C96" s="2">
        <v>2023</v>
      </c>
      <c r="D96" s="5">
        <v>1000390488000000</v>
      </c>
      <c r="E96" s="5">
        <v>1022250376000000</v>
      </c>
      <c r="F96" s="6">
        <f t="shared" si="1"/>
        <v>0.9786159159113873</v>
      </c>
      <c r="G96" s="14"/>
    </row>
    <row r="97" spans="1:7" x14ac:dyDescent="0.35">
      <c r="A97" s="15">
        <v>20</v>
      </c>
      <c r="B97" s="15" t="s">
        <v>26</v>
      </c>
      <c r="C97" s="2">
        <v>2019</v>
      </c>
      <c r="D97" s="5">
        <v>287067420462</v>
      </c>
      <c r="E97" s="5">
        <v>584445919301</v>
      </c>
      <c r="F97" s="6">
        <f t="shared" si="1"/>
        <v>0.49117875748937379</v>
      </c>
      <c r="G97" s="14"/>
    </row>
    <row r="98" spans="1:7" x14ac:dyDescent="0.35">
      <c r="A98" s="15"/>
      <c r="B98" s="15"/>
      <c r="C98" s="2">
        <v>2020</v>
      </c>
      <c r="D98" s="5">
        <v>317228386339</v>
      </c>
      <c r="E98" s="5">
        <v>564577831801</v>
      </c>
      <c r="F98" s="6">
        <f t="shared" si="1"/>
        <v>0.56188601193752741</v>
      </c>
      <c r="G98" s="14"/>
    </row>
    <row r="99" spans="1:7" x14ac:dyDescent="0.35">
      <c r="A99" s="15"/>
      <c r="B99" s="15"/>
      <c r="C99" s="2">
        <v>2021</v>
      </c>
      <c r="D99" s="5">
        <v>233792851055</v>
      </c>
      <c r="E99" s="5">
        <v>817847583715</v>
      </c>
      <c r="F99" s="6">
        <f t="shared" si="1"/>
        <v>0.28586359574850945</v>
      </c>
      <c r="G99" s="14"/>
    </row>
    <row r="100" spans="1:7" x14ac:dyDescent="0.35">
      <c r="A100" s="15"/>
      <c r="B100" s="15"/>
      <c r="C100" s="2">
        <v>2022</v>
      </c>
      <c r="D100" s="5">
        <v>165956607186</v>
      </c>
      <c r="E100" s="5">
        <v>1016896178133</v>
      </c>
      <c r="F100" s="6">
        <f t="shared" si="1"/>
        <v>0.16319916502262094</v>
      </c>
      <c r="G100" s="14"/>
    </row>
    <row r="101" spans="1:7" x14ac:dyDescent="0.35">
      <c r="A101" s="15"/>
      <c r="B101" s="15"/>
      <c r="C101" s="2">
        <v>2023</v>
      </c>
      <c r="D101" s="5">
        <v>208339830993</v>
      </c>
      <c r="E101" s="5">
        <v>799523779947</v>
      </c>
      <c r="F101" s="6">
        <f t="shared" si="1"/>
        <v>0.26057990546173715</v>
      </c>
      <c r="G101" s="14"/>
    </row>
    <row r="102" spans="1:7" x14ac:dyDescent="0.35">
      <c r="A102" s="15">
        <v>21</v>
      </c>
      <c r="B102" s="15" t="s">
        <v>27</v>
      </c>
      <c r="C102" s="2">
        <v>2019</v>
      </c>
      <c r="D102" s="5">
        <v>458336307163</v>
      </c>
      <c r="E102" s="5">
        <v>1298118111674</v>
      </c>
      <c r="F102" s="6">
        <f t="shared" si="1"/>
        <v>0.35307750738640281</v>
      </c>
      <c r="G102" s="14"/>
    </row>
    <row r="103" spans="1:7" x14ac:dyDescent="0.35">
      <c r="A103" s="15"/>
      <c r="B103" s="15"/>
      <c r="C103" s="2">
        <v>2020</v>
      </c>
      <c r="D103" s="5">
        <v>344694139335</v>
      </c>
      <c r="E103" s="5">
        <v>1188354092380</v>
      </c>
      <c r="F103" s="6">
        <f t="shared" si="1"/>
        <v>0.29006012731832892</v>
      </c>
      <c r="G103" s="14"/>
    </row>
    <row r="104" spans="1:7" x14ac:dyDescent="0.35">
      <c r="A104" s="15"/>
      <c r="B104" s="15"/>
      <c r="C104" s="2">
        <v>2021</v>
      </c>
      <c r="D104" s="5">
        <v>474610498119</v>
      </c>
      <c r="E104" s="5">
        <v>1411498840464</v>
      </c>
      <c r="F104" s="6">
        <f t="shared" si="1"/>
        <v>0.33624575841874726</v>
      </c>
      <c r="G104" s="14"/>
    </row>
    <row r="105" spans="1:7" x14ac:dyDescent="0.35">
      <c r="A105" s="15"/>
      <c r="B105" s="15"/>
      <c r="C105" s="2">
        <v>2022</v>
      </c>
      <c r="D105" s="5">
        <v>743219684126</v>
      </c>
      <c r="E105" s="5">
        <v>2012610674264</v>
      </c>
      <c r="F105" s="6">
        <f t="shared" si="1"/>
        <v>0.36928139834982793</v>
      </c>
      <c r="G105" s="14"/>
    </row>
    <row r="106" spans="1:7" x14ac:dyDescent="0.35">
      <c r="A106" s="15"/>
      <c r="B106" s="15"/>
      <c r="C106" s="2">
        <v>2023</v>
      </c>
      <c r="D106" s="5">
        <v>943396040648</v>
      </c>
      <c r="E106" s="5">
        <v>2148075568312</v>
      </c>
      <c r="F106" s="6">
        <f t="shared" si="1"/>
        <v>0.43918196108405028</v>
      </c>
      <c r="G106" s="14"/>
    </row>
    <row r="107" spans="1:7" x14ac:dyDescent="0.35">
      <c r="A107" s="15">
        <v>22</v>
      </c>
      <c r="B107" s="15" t="s">
        <v>28</v>
      </c>
      <c r="C107" s="2">
        <v>2019</v>
      </c>
      <c r="D107" s="5">
        <v>6163489779</v>
      </c>
      <c r="E107" s="5">
        <v>86632001447</v>
      </c>
      <c r="F107" s="6">
        <f t="shared" si="1"/>
        <v>7.1145646828565071E-2</v>
      </c>
      <c r="G107" s="14"/>
    </row>
    <row r="108" spans="1:7" x14ac:dyDescent="0.35">
      <c r="A108" s="15"/>
      <c r="B108" s="15"/>
      <c r="C108" s="2">
        <v>2020</v>
      </c>
      <c r="D108" s="5">
        <v>98039065744</v>
      </c>
      <c r="E108" s="5">
        <v>185404119807</v>
      </c>
      <c r="F108" s="6">
        <f t="shared" si="1"/>
        <v>0.52878579961467775</v>
      </c>
      <c r="G108" s="14"/>
    </row>
    <row r="109" spans="1:7" x14ac:dyDescent="0.35">
      <c r="A109" s="15"/>
      <c r="B109" s="15"/>
      <c r="C109" s="2">
        <v>2021</v>
      </c>
      <c r="D109" s="5">
        <v>49549776710</v>
      </c>
      <c r="E109" s="5">
        <v>139180731720</v>
      </c>
      <c r="F109" s="6">
        <f t="shared" si="1"/>
        <v>0.35601031908413078</v>
      </c>
      <c r="G109" s="14"/>
    </row>
    <row r="110" spans="1:7" x14ac:dyDescent="0.35">
      <c r="A110" s="15"/>
      <c r="B110" s="15"/>
      <c r="C110" s="2">
        <v>2022</v>
      </c>
      <c r="D110" s="5">
        <v>159714360683</v>
      </c>
      <c r="E110" s="5">
        <v>2575924740057</v>
      </c>
      <c r="F110" s="6">
        <f t="shared" si="1"/>
        <v>6.2002727874520838E-2</v>
      </c>
      <c r="G110" s="14"/>
    </row>
    <row r="111" spans="1:7" x14ac:dyDescent="0.35">
      <c r="A111" s="15"/>
      <c r="B111" s="15"/>
      <c r="C111" s="2">
        <v>2023</v>
      </c>
      <c r="D111" s="5">
        <v>244807247098</v>
      </c>
      <c r="E111" s="5">
        <v>345240596973</v>
      </c>
      <c r="F111" s="6">
        <f t="shared" si="1"/>
        <v>0.70909171529773907</v>
      </c>
      <c r="G111" s="14"/>
    </row>
    <row r="112" spans="1:7" x14ac:dyDescent="0.35">
      <c r="A112" s="15">
        <v>23</v>
      </c>
      <c r="B112" s="15" t="s">
        <v>29</v>
      </c>
      <c r="C112" s="2">
        <v>2019</v>
      </c>
      <c r="D112" s="5">
        <v>369620928738</v>
      </c>
      <c r="E112" s="5">
        <v>199358310381</v>
      </c>
      <c r="F112" s="6">
        <f t="shared" si="1"/>
        <v>1.8540532773958893</v>
      </c>
      <c r="G112" s="14"/>
    </row>
    <row r="113" spans="1:9" x14ac:dyDescent="0.35">
      <c r="A113" s="15"/>
      <c r="B113" s="15"/>
      <c r="C113" s="2">
        <v>2020</v>
      </c>
      <c r="D113" s="5">
        <v>303511534873</v>
      </c>
      <c r="E113" s="5">
        <v>316895998461</v>
      </c>
      <c r="F113" s="6">
        <f t="shared" si="1"/>
        <v>0.9577638605315264</v>
      </c>
      <c r="G113" s="14"/>
    </row>
    <row r="114" spans="1:9" x14ac:dyDescent="0.35">
      <c r="A114" s="15"/>
      <c r="B114" s="15"/>
      <c r="C114" s="2">
        <v>2021</v>
      </c>
      <c r="D114" s="5">
        <v>236216688731</v>
      </c>
      <c r="E114" s="5">
        <v>431191326623</v>
      </c>
      <c r="F114" s="6">
        <f t="shared" si="1"/>
        <v>0.54782337710964535</v>
      </c>
      <c r="G114" s="14"/>
    </row>
    <row r="115" spans="1:9" x14ac:dyDescent="0.35">
      <c r="A115" s="15"/>
      <c r="B115" s="15"/>
      <c r="C115" s="2">
        <v>2022</v>
      </c>
      <c r="D115" s="5">
        <v>280314393306</v>
      </c>
      <c r="E115" s="5">
        <v>492352056536</v>
      </c>
      <c r="F115" s="6">
        <f t="shared" si="1"/>
        <v>0.5693373056633183</v>
      </c>
      <c r="G115" s="14"/>
    </row>
    <row r="116" spans="1:9" x14ac:dyDescent="0.35">
      <c r="A116" s="15"/>
      <c r="B116" s="15"/>
      <c r="C116" s="2">
        <v>2023</v>
      </c>
      <c r="D116" s="5">
        <v>117265164483</v>
      </c>
      <c r="E116" s="5">
        <v>572538209106</v>
      </c>
      <c r="F116" s="6">
        <f t="shared" si="1"/>
        <v>0.20481631202589218</v>
      </c>
      <c r="G116" s="14"/>
    </row>
    <row r="117" spans="1:9" x14ac:dyDescent="0.35">
      <c r="A117" s="15">
        <v>24</v>
      </c>
      <c r="B117" s="15" t="s">
        <v>30</v>
      </c>
      <c r="C117" s="2">
        <v>2019</v>
      </c>
      <c r="D117" s="5">
        <v>203584653001</v>
      </c>
      <c r="E117" s="5">
        <v>339672393223</v>
      </c>
      <c r="F117" s="6">
        <f t="shared" si="1"/>
        <v>0.59935590016390772</v>
      </c>
      <c r="G117" s="14"/>
    </row>
    <row r="118" spans="1:9" x14ac:dyDescent="0.35">
      <c r="A118" s="15"/>
      <c r="B118" s="15"/>
      <c r="C118" s="2">
        <v>2020</v>
      </c>
      <c r="D118" s="5">
        <v>152354623294</v>
      </c>
      <c r="E118" s="5">
        <v>352947426518</v>
      </c>
      <c r="F118" s="6">
        <f t="shared" si="1"/>
        <v>0.4316637885620907</v>
      </c>
      <c r="G118" s="14"/>
    </row>
    <row r="119" spans="1:9" x14ac:dyDescent="0.35">
      <c r="A119" s="15"/>
      <c r="B119" s="15"/>
      <c r="C119" s="2">
        <v>2021</v>
      </c>
      <c r="D119" s="5">
        <v>186847898731</v>
      </c>
      <c r="E119" s="5">
        <v>307404859003</v>
      </c>
      <c r="F119" s="6">
        <f t="shared" si="1"/>
        <v>0.60782350460236712</v>
      </c>
      <c r="G119" s="14"/>
    </row>
    <row r="120" spans="1:9" x14ac:dyDescent="0.35">
      <c r="A120" s="15"/>
      <c r="B120" s="15"/>
      <c r="C120" s="2">
        <v>2022</v>
      </c>
      <c r="D120" s="5">
        <v>150233481432</v>
      </c>
      <c r="E120" s="5">
        <v>214090733539</v>
      </c>
      <c r="F120" s="6">
        <f t="shared" si="1"/>
        <v>0.70172808952813737</v>
      </c>
      <c r="G120" s="14"/>
    </row>
    <row r="121" spans="1:9" x14ac:dyDescent="0.35">
      <c r="A121" s="15"/>
      <c r="B121" s="15"/>
      <c r="C121" s="2">
        <v>2023</v>
      </c>
      <c r="D121" s="5">
        <v>205292154161</v>
      </c>
      <c r="E121" s="5">
        <v>213520570275</v>
      </c>
      <c r="F121" s="6">
        <f t="shared" si="1"/>
        <v>0.96146312224905373</v>
      </c>
      <c r="G121" s="14"/>
    </row>
    <row r="122" spans="1:9" x14ac:dyDescent="0.35">
      <c r="A122" s="15">
        <v>25</v>
      </c>
      <c r="B122" s="15" t="s">
        <v>31</v>
      </c>
      <c r="C122" s="2">
        <v>2019</v>
      </c>
      <c r="D122" s="5">
        <v>3633693598</v>
      </c>
      <c r="E122" s="5">
        <v>2052166596864</v>
      </c>
      <c r="F122" s="6">
        <f t="shared" si="1"/>
        <v>1.7706620912516539E-3</v>
      </c>
      <c r="G122" s="14">
        <v>13901</v>
      </c>
      <c r="H122" s="4">
        <f>G122*261398</f>
        <v>3633693598</v>
      </c>
      <c r="I122" s="4">
        <f>G122*147627264</f>
        <v>2052166596864</v>
      </c>
    </row>
    <row r="123" spans="1:9" x14ac:dyDescent="0.35">
      <c r="A123" s="15"/>
      <c r="B123" s="15"/>
      <c r="C123" s="2">
        <v>2020</v>
      </c>
      <c r="D123" s="5">
        <v>3656814525</v>
      </c>
      <c r="E123" s="5">
        <v>2256294787110</v>
      </c>
      <c r="F123" s="6">
        <f t="shared" si="1"/>
        <v>1.6207166483258471E-3</v>
      </c>
      <c r="G123" s="14">
        <v>14105</v>
      </c>
      <c r="H123" s="4">
        <f>G123*252805</f>
        <v>3565814525</v>
      </c>
      <c r="I123" s="4">
        <f>G123*159964182</f>
        <v>2256294787110</v>
      </c>
    </row>
    <row r="124" spans="1:9" x14ac:dyDescent="0.35">
      <c r="A124" s="15"/>
      <c r="B124" s="15"/>
      <c r="C124" s="2">
        <v>2021</v>
      </c>
      <c r="D124" s="5">
        <v>156191912829</v>
      </c>
      <c r="E124" s="5">
        <v>2457813190126</v>
      </c>
      <c r="F124" s="6">
        <f t="shared" si="1"/>
        <v>6.3549139314771436E-2</v>
      </c>
      <c r="G124" s="14">
        <v>14269</v>
      </c>
      <c r="H124" s="4">
        <f>G124*10946241</f>
        <v>156191912829</v>
      </c>
      <c r="I124" s="4">
        <f>G124*172248454</f>
        <v>2457813190126</v>
      </c>
    </row>
    <row r="125" spans="1:9" x14ac:dyDescent="0.35">
      <c r="A125" s="15"/>
      <c r="B125" s="15"/>
      <c r="C125" s="2">
        <v>2022</v>
      </c>
      <c r="D125" s="5">
        <v>151893753776</v>
      </c>
      <c r="E125" s="5">
        <v>3296026464411</v>
      </c>
      <c r="F125" s="6">
        <f t="shared" si="1"/>
        <v>4.6083899937115161E-2</v>
      </c>
      <c r="G125" s="14">
        <v>15731</v>
      </c>
      <c r="H125" s="4">
        <f>G125*9655696</f>
        <v>151893753776</v>
      </c>
      <c r="I125" s="4">
        <f>G125*209524281</f>
        <v>3296026464411</v>
      </c>
    </row>
    <row r="126" spans="1:9" x14ac:dyDescent="0.35">
      <c r="A126" s="15"/>
      <c r="B126" s="15"/>
      <c r="C126" s="2">
        <v>2023</v>
      </c>
      <c r="D126" s="5">
        <v>232648852824</v>
      </c>
      <c r="E126" s="5">
        <v>3262095465312</v>
      </c>
      <c r="F126" s="6">
        <f>D126/E126</f>
        <v>7.1318836403749614E-2</v>
      </c>
      <c r="G126" s="14">
        <v>15416</v>
      </c>
      <c r="H126" s="4">
        <f>G126*15091389</f>
        <v>232648852824</v>
      </c>
      <c r="I126" s="4">
        <f>G126*211604532</f>
        <v>3262095465312</v>
      </c>
    </row>
    <row r="127" spans="1:9" x14ac:dyDescent="0.35">
      <c r="A127" s="15">
        <v>26</v>
      </c>
      <c r="B127" s="15" t="s">
        <v>32</v>
      </c>
      <c r="C127" s="2">
        <v>2019</v>
      </c>
      <c r="D127" s="5">
        <v>279597193559</v>
      </c>
      <c r="E127" s="5">
        <v>615361641737</v>
      </c>
      <c r="F127" s="6">
        <f t="shared" ref="F127:F190" si="2">D127/E127</f>
        <v>0.45436240187115418</v>
      </c>
      <c r="G127" s="14">
        <v>13901</v>
      </c>
      <c r="H127" s="4">
        <f>G127*20113459</f>
        <v>279597193559</v>
      </c>
      <c r="I127" s="4">
        <f>G127*44267437</f>
        <v>615361641737</v>
      </c>
    </row>
    <row r="128" spans="1:9" x14ac:dyDescent="0.35">
      <c r="A128" s="15"/>
      <c r="B128" s="15"/>
      <c r="C128" s="2">
        <v>2020</v>
      </c>
      <c r="D128" s="5">
        <v>60708075155</v>
      </c>
      <c r="E128" s="5">
        <v>628245840040</v>
      </c>
      <c r="F128" s="6">
        <f t="shared" si="2"/>
        <v>9.663108179297257E-2</v>
      </c>
      <c r="G128" s="14">
        <v>14105</v>
      </c>
      <c r="H128" s="4">
        <f>G128*4304011</f>
        <v>60708075155</v>
      </c>
      <c r="I128" s="4">
        <f>G128*44540648</f>
        <v>628245840040</v>
      </c>
    </row>
    <row r="129" spans="1:9" x14ac:dyDescent="0.35">
      <c r="A129" s="15"/>
      <c r="B129" s="15"/>
      <c r="C129" s="2">
        <v>2021</v>
      </c>
      <c r="D129" s="5">
        <v>50946306432</v>
      </c>
      <c r="E129" s="5">
        <v>565558883568</v>
      </c>
      <c r="F129" s="6">
        <f t="shared" si="2"/>
        <v>9.0081347693788755E-2</v>
      </c>
      <c r="G129" s="14">
        <v>14269</v>
      </c>
    </row>
    <row r="130" spans="1:9" x14ac:dyDescent="0.35">
      <c r="A130" s="15"/>
      <c r="B130" s="15"/>
      <c r="C130" s="2">
        <v>2022</v>
      </c>
      <c r="D130" s="5">
        <v>31773604805</v>
      </c>
      <c r="E130" s="5">
        <v>616735937975</v>
      </c>
      <c r="F130" s="6">
        <f t="shared" si="2"/>
        <v>5.1518977326545833E-2</v>
      </c>
      <c r="G130" s="14">
        <v>15731</v>
      </c>
    </row>
    <row r="131" spans="1:9" x14ac:dyDescent="0.35">
      <c r="A131" s="15"/>
      <c r="B131" s="15"/>
      <c r="C131" s="2">
        <v>2023</v>
      </c>
      <c r="D131" s="5">
        <v>19547133209</v>
      </c>
      <c r="E131" s="5">
        <v>679112218042</v>
      </c>
      <c r="F131" s="6">
        <f t="shared" si="2"/>
        <v>2.8783362586757493E-2</v>
      </c>
      <c r="G131" s="14">
        <v>15416</v>
      </c>
      <c r="H131" s="4"/>
    </row>
    <row r="132" spans="1:9" x14ac:dyDescent="0.35">
      <c r="A132" s="15">
        <v>27</v>
      </c>
      <c r="B132" s="15" t="s">
        <v>33</v>
      </c>
      <c r="C132" s="2">
        <v>2019</v>
      </c>
      <c r="D132" s="5">
        <v>239355456000</v>
      </c>
      <c r="E132" s="5">
        <v>659578434000</v>
      </c>
      <c r="F132" s="6">
        <f t="shared" si="2"/>
        <v>0.36289157386246501</v>
      </c>
      <c r="G132" s="14"/>
    </row>
    <row r="133" spans="1:9" x14ac:dyDescent="0.35">
      <c r="A133" s="15"/>
      <c r="B133" s="15"/>
      <c r="C133" s="2">
        <v>2020</v>
      </c>
      <c r="D133" s="5">
        <v>178659945000</v>
      </c>
      <c r="E133" s="5">
        <v>655378970000</v>
      </c>
      <c r="F133" s="6">
        <f t="shared" si="2"/>
        <v>0.2726055506480472</v>
      </c>
      <c r="G133" s="14"/>
    </row>
    <row r="134" spans="1:9" x14ac:dyDescent="0.35">
      <c r="A134" s="15"/>
      <c r="B134" s="15"/>
      <c r="C134" s="2">
        <v>2021</v>
      </c>
      <c r="D134" s="5">
        <v>175196520000</v>
      </c>
      <c r="E134" s="5">
        <v>813864394000</v>
      </c>
      <c r="F134" s="6">
        <f t="shared" si="2"/>
        <v>0.2152650015058897</v>
      </c>
      <c r="G134" s="14"/>
    </row>
    <row r="135" spans="1:9" x14ac:dyDescent="0.35">
      <c r="A135" s="15"/>
      <c r="B135" s="15"/>
      <c r="C135" s="2">
        <v>2022</v>
      </c>
      <c r="D135" s="5">
        <v>248193270000</v>
      </c>
      <c r="E135" s="5">
        <v>1054312117000</v>
      </c>
      <c r="F135" s="6">
        <f t="shared" si="2"/>
        <v>0.23540777536183813</v>
      </c>
      <c r="G135" s="14"/>
    </row>
    <row r="136" spans="1:9" x14ac:dyDescent="0.35">
      <c r="A136" s="15"/>
      <c r="B136" s="15"/>
      <c r="C136" s="2">
        <v>2023</v>
      </c>
      <c r="D136" s="5">
        <v>63811093000</v>
      </c>
      <c r="E136" s="5">
        <v>1087089561000</v>
      </c>
      <c r="F136" s="6">
        <f t="shared" si="2"/>
        <v>5.8699021027578423E-2</v>
      </c>
      <c r="G136" s="14"/>
    </row>
    <row r="137" spans="1:9" x14ac:dyDescent="0.35">
      <c r="A137" s="15">
        <v>28</v>
      </c>
      <c r="B137" s="15" t="s">
        <v>34</v>
      </c>
      <c r="C137" s="2">
        <v>2019</v>
      </c>
      <c r="D137" s="5">
        <v>452852195851</v>
      </c>
      <c r="E137" s="5">
        <v>1098996837533</v>
      </c>
      <c r="F137" s="6">
        <f t="shared" si="2"/>
        <v>0.41205959870417008</v>
      </c>
      <c r="G137" s="14">
        <v>13901</v>
      </c>
      <c r="H137" s="4">
        <f>G137*32576951</f>
        <v>452852195851</v>
      </c>
      <c r="I137" s="4">
        <f>G137*79058833</f>
        <v>1098996837533</v>
      </c>
    </row>
    <row r="138" spans="1:9" x14ac:dyDescent="0.35">
      <c r="A138" s="15"/>
      <c r="B138" s="15"/>
      <c r="C138" s="2">
        <v>2020</v>
      </c>
      <c r="D138" s="5">
        <v>377414763180</v>
      </c>
      <c r="E138" s="5">
        <v>1086137907855</v>
      </c>
      <c r="F138" s="6">
        <f t="shared" si="2"/>
        <v>0.34748328039240584</v>
      </c>
      <c r="G138" s="14">
        <v>14105</v>
      </c>
      <c r="H138" s="4">
        <f>G138*26757516</f>
        <v>377414763180</v>
      </c>
      <c r="I138" s="4">
        <f>G138*77003751</f>
        <v>1086137907855</v>
      </c>
    </row>
    <row r="139" spans="1:9" x14ac:dyDescent="0.35">
      <c r="A139" s="15"/>
      <c r="B139" s="15"/>
      <c r="C139" s="2">
        <v>2021</v>
      </c>
      <c r="D139" s="5">
        <v>316641395609</v>
      </c>
      <c r="E139" s="5">
        <v>1099647890611</v>
      </c>
      <c r="F139" s="6">
        <f t="shared" si="2"/>
        <v>0.28794798618043432</v>
      </c>
      <c r="G139" s="14">
        <v>14269</v>
      </c>
      <c r="H139" s="4">
        <f>G139*22190861</f>
        <v>316641395609</v>
      </c>
      <c r="I139" s="4">
        <f>G139*77065519</f>
        <v>1099647890611</v>
      </c>
    </row>
    <row r="140" spans="1:9" x14ac:dyDescent="0.35">
      <c r="A140" s="15"/>
      <c r="B140" s="15"/>
      <c r="C140" s="2">
        <v>2022</v>
      </c>
      <c r="D140" s="5">
        <v>291824837140</v>
      </c>
      <c r="E140" s="5">
        <v>1397395804624</v>
      </c>
      <c r="F140" s="6">
        <f t="shared" si="2"/>
        <v>0.20883477406640838</v>
      </c>
      <c r="G140" s="14">
        <v>15731</v>
      </c>
      <c r="H140" s="4">
        <f>G140*18550940</f>
        <v>291824837140</v>
      </c>
      <c r="I140" s="4">
        <f>G140*88830704</f>
        <v>1397395804624</v>
      </c>
    </row>
    <row r="141" spans="1:9" x14ac:dyDescent="0.35">
      <c r="A141" s="15"/>
      <c r="B141" s="15"/>
      <c r="C141" s="2">
        <v>2023</v>
      </c>
      <c r="D141" s="5">
        <v>383594031016</v>
      </c>
      <c r="E141" s="5">
        <v>1426350785632</v>
      </c>
      <c r="F141" s="6">
        <f t="shared" si="2"/>
        <v>0.26893386597465491</v>
      </c>
      <c r="G141" s="14">
        <v>15416</v>
      </c>
      <c r="H141" s="4">
        <f>G141*24882851</f>
        <v>383594031016</v>
      </c>
      <c r="I141" s="4">
        <f>G141*92524052</f>
        <v>1426350785632</v>
      </c>
    </row>
    <row r="142" spans="1:9" x14ac:dyDescent="0.35">
      <c r="A142" s="15">
        <v>29</v>
      </c>
      <c r="B142" s="15" t="s">
        <v>35</v>
      </c>
      <c r="C142" s="2">
        <v>2019</v>
      </c>
      <c r="D142" s="5">
        <v>57327333000</v>
      </c>
      <c r="E142" s="5">
        <v>14328227000</v>
      </c>
      <c r="F142" s="6">
        <f t="shared" si="2"/>
        <v>4.001006754010807</v>
      </c>
      <c r="G142" s="14"/>
    </row>
    <row r="143" spans="1:9" x14ac:dyDescent="0.35">
      <c r="A143" s="15"/>
      <c r="B143" s="15"/>
      <c r="C143" s="2">
        <v>2020</v>
      </c>
      <c r="D143" s="5">
        <v>28264222000</v>
      </c>
      <c r="E143" s="5">
        <v>40391503000</v>
      </c>
      <c r="F143" s="6">
        <f t="shared" si="2"/>
        <v>0.6997566295069535</v>
      </c>
      <c r="G143" s="14"/>
    </row>
    <row r="144" spans="1:9" x14ac:dyDescent="0.35">
      <c r="A144" s="15"/>
      <c r="B144" s="15"/>
      <c r="C144" s="2">
        <v>2021</v>
      </c>
      <c r="D144" s="5">
        <v>24585178000</v>
      </c>
      <c r="E144" s="5">
        <v>40012006000</v>
      </c>
      <c r="F144" s="6">
        <f t="shared" si="2"/>
        <v>0.61444502432594861</v>
      </c>
      <c r="G144" s="14"/>
    </row>
    <row r="145" spans="1:9" x14ac:dyDescent="0.35">
      <c r="A145" s="15"/>
      <c r="B145" s="15"/>
      <c r="C145" s="2">
        <v>2022</v>
      </c>
      <c r="D145" s="5">
        <v>60980287000</v>
      </c>
      <c r="E145" s="5">
        <v>10651480000</v>
      </c>
      <c r="F145" s="6">
        <f t="shared" si="2"/>
        <v>5.7250529503881147</v>
      </c>
      <c r="G145" s="14"/>
    </row>
    <row r="146" spans="1:9" x14ac:dyDescent="0.35">
      <c r="A146" s="15"/>
      <c r="B146" s="15"/>
      <c r="C146" s="2">
        <v>2023</v>
      </c>
      <c r="D146" s="5">
        <v>7838409000</v>
      </c>
      <c r="E146" s="5">
        <v>243361929000</v>
      </c>
      <c r="F146" s="6">
        <f t="shared" si="2"/>
        <v>3.2208854656144675E-2</v>
      </c>
      <c r="G146" s="14"/>
    </row>
    <row r="147" spans="1:9" x14ac:dyDescent="0.35">
      <c r="A147" s="15">
        <v>30</v>
      </c>
      <c r="B147" s="15" t="s">
        <v>36</v>
      </c>
      <c r="C147" s="2">
        <v>2019</v>
      </c>
      <c r="D147" s="5">
        <v>4903024267784</v>
      </c>
      <c r="E147" s="5">
        <v>4663863429006</v>
      </c>
      <c r="F147" s="6">
        <f t="shared" si="2"/>
        <v>1.0512795544763565</v>
      </c>
      <c r="G147" s="14">
        <v>13901</v>
      </c>
      <c r="H147" s="4">
        <f>G147*352710184</f>
        <v>4903024267784</v>
      </c>
      <c r="I147" s="4">
        <f>G147*335505606</f>
        <v>4663863429006</v>
      </c>
    </row>
    <row r="148" spans="1:9" x14ac:dyDescent="0.35">
      <c r="A148" s="15"/>
      <c r="B148" s="15"/>
      <c r="C148" s="2">
        <v>2020</v>
      </c>
      <c r="D148" s="5">
        <v>4212238169685</v>
      </c>
      <c r="E148" s="5">
        <v>5090817349345</v>
      </c>
      <c r="F148" s="6">
        <f t="shared" si="2"/>
        <v>0.82741883682528095</v>
      </c>
      <c r="G148" s="14">
        <v>14105</v>
      </c>
      <c r="H148" s="4">
        <f>G148*298634397</f>
        <v>4212238169685</v>
      </c>
      <c r="I148" s="4">
        <f>G148*360922889</f>
        <v>5090817349345</v>
      </c>
    </row>
    <row r="149" spans="1:9" x14ac:dyDescent="0.35">
      <c r="A149" s="15"/>
      <c r="B149" s="15"/>
      <c r="C149" s="2">
        <v>2021</v>
      </c>
      <c r="D149" s="5">
        <v>3735088341974</v>
      </c>
      <c r="E149" s="5">
        <v>5243109276345</v>
      </c>
      <c r="F149" s="6">
        <f t="shared" si="2"/>
        <v>0.71238041114751482</v>
      </c>
      <c r="G149" s="14">
        <v>14269</v>
      </c>
      <c r="H149" s="4">
        <f>G149*261762446</f>
        <v>3735088341974</v>
      </c>
      <c r="I149" s="4">
        <f>G149*367447563</f>
        <v>5243109276447</v>
      </c>
    </row>
    <row r="150" spans="1:9" x14ac:dyDescent="0.35">
      <c r="A150" s="15"/>
      <c r="B150" s="15"/>
      <c r="C150" s="2">
        <v>2022</v>
      </c>
      <c r="D150" s="5">
        <v>4041142473394</v>
      </c>
      <c r="E150" s="5">
        <v>5884488452863</v>
      </c>
      <c r="F150" s="6">
        <f t="shared" si="2"/>
        <v>0.6867449066754221</v>
      </c>
      <c r="G150" s="14">
        <v>15731</v>
      </c>
      <c r="H150" s="4">
        <f>G150*256890374</f>
        <v>4041142473394</v>
      </c>
      <c r="I150" s="4">
        <f>G150*374069573</f>
        <v>5884488452863</v>
      </c>
    </row>
    <row r="151" spans="1:9" x14ac:dyDescent="0.35">
      <c r="A151" s="15"/>
      <c r="B151" s="15"/>
      <c r="C151" s="2">
        <v>2023</v>
      </c>
      <c r="D151" s="5">
        <v>3418971271200</v>
      </c>
      <c r="E151" s="5">
        <v>5896972178520</v>
      </c>
      <c r="F151" s="6">
        <f t="shared" si="2"/>
        <v>0.57978419563411954</v>
      </c>
      <c r="G151" s="14">
        <v>15416</v>
      </c>
      <c r="H151" s="4">
        <f>G151*221780700</f>
        <v>3418971271200</v>
      </c>
      <c r="I151" s="4">
        <f>G151*382522845</f>
        <v>5896972178520</v>
      </c>
    </row>
    <row r="152" spans="1:9" x14ac:dyDescent="0.35">
      <c r="A152" s="15">
        <v>31</v>
      </c>
      <c r="B152" s="15" t="s">
        <v>37</v>
      </c>
      <c r="C152" s="2">
        <v>2019</v>
      </c>
      <c r="D152" s="5">
        <v>1638619000000</v>
      </c>
      <c r="E152" s="5">
        <v>1438916000000</v>
      </c>
      <c r="F152" s="6">
        <f t="shared" si="2"/>
        <v>1.1387871147447106</v>
      </c>
      <c r="G152" s="14">
        <v>13901</v>
      </c>
    </row>
    <row r="153" spans="1:9" x14ac:dyDescent="0.35">
      <c r="A153" s="15"/>
      <c r="B153" s="15"/>
      <c r="C153" s="2">
        <v>2020</v>
      </c>
      <c r="D153" s="5">
        <v>1320653000000</v>
      </c>
      <c r="E153" s="5">
        <v>1431558000000</v>
      </c>
      <c r="F153" s="6">
        <f t="shared" si="2"/>
        <v>0.92252846199734839</v>
      </c>
      <c r="G153" s="14">
        <v>14105</v>
      </c>
    </row>
    <row r="154" spans="1:9" x14ac:dyDescent="0.35">
      <c r="A154" s="15"/>
      <c r="B154" s="15"/>
      <c r="C154" s="2">
        <v>2021</v>
      </c>
      <c r="D154" s="5">
        <v>1307923000000</v>
      </c>
      <c r="E154" s="5">
        <v>1540273000000</v>
      </c>
      <c r="F154" s="6">
        <f t="shared" si="2"/>
        <v>0.8491501181933333</v>
      </c>
      <c r="G154" s="14">
        <v>14269</v>
      </c>
    </row>
    <row r="155" spans="1:9" x14ac:dyDescent="0.35">
      <c r="A155" s="15"/>
      <c r="B155" s="15"/>
      <c r="C155" s="2">
        <v>2022</v>
      </c>
      <c r="D155" s="5">
        <v>1161845000000</v>
      </c>
      <c r="E155" s="5">
        <v>1648024000000</v>
      </c>
      <c r="F155" s="6">
        <f t="shared" si="2"/>
        <v>0.70499276709562486</v>
      </c>
      <c r="G155" s="14">
        <v>15731</v>
      </c>
    </row>
    <row r="156" spans="1:9" x14ac:dyDescent="0.35">
      <c r="A156" s="15"/>
      <c r="B156" s="15"/>
      <c r="C156" s="2">
        <v>2023</v>
      </c>
      <c r="D156" s="5">
        <v>1413313000000</v>
      </c>
      <c r="E156" s="5">
        <v>2995940000000</v>
      </c>
      <c r="F156" s="6">
        <f t="shared" si="2"/>
        <v>0.47174275853321496</v>
      </c>
      <c r="G156" s="14">
        <v>15416</v>
      </c>
    </row>
    <row r="157" spans="1:9" x14ac:dyDescent="0.35">
      <c r="A157" s="15">
        <v>32</v>
      </c>
      <c r="B157" s="15" t="s">
        <v>38</v>
      </c>
      <c r="C157" s="2">
        <v>2019</v>
      </c>
      <c r="D157" s="5">
        <v>802626919790</v>
      </c>
      <c r="E157" s="5">
        <v>1705670701795</v>
      </c>
      <c r="F157" s="6">
        <f t="shared" si="2"/>
        <v>0.47056381923271468</v>
      </c>
      <c r="G157" s="14">
        <v>13901</v>
      </c>
      <c r="H157" s="4">
        <f>G157*57738790</f>
        <v>802626919790</v>
      </c>
      <c r="I157" s="4">
        <f>G157*122701295</f>
        <v>1705670701795</v>
      </c>
    </row>
    <row r="158" spans="1:9" x14ac:dyDescent="0.35">
      <c r="A158" s="15"/>
      <c r="B158" s="15"/>
      <c r="C158" s="2">
        <v>2020</v>
      </c>
      <c r="D158" s="5">
        <v>1730701765975</v>
      </c>
      <c r="E158" s="5">
        <v>1738393081425</v>
      </c>
      <c r="F158" s="6">
        <f t="shared" si="2"/>
        <v>0.9955756177747237</v>
      </c>
      <c r="G158" s="14">
        <v>14105</v>
      </c>
      <c r="H158" s="4">
        <f>G158*122701295</f>
        <v>1730701765975</v>
      </c>
      <c r="I158" s="4">
        <f>G158*123246585</f>
        <v>1738393081425</v>
      </c>
    </row>
    <row r="159" spans="1:9" x14ac:dyDescent="0.35">
      <c r="A159" s="15"/>
      <c r="B159" s="15"/>
      <c r="C159" s="2">
        <v>2021</v>
      </c>
      <c r="D159" s="5">
        <v>1718970677024</v>
      </c>
      <c r="E159" s="5">
        <v>1785298125864</v>
      </c>
      <c r="F159" s="6">
        <f t="shared" si="2"/>
        <v>0.96284797038707437</v>
      </c>
      <c r="G159" s="14">
        <v>14269</v>
      </c>
      <c r="H159" s="4">
        <f>G159*120468896</f>
        <v>1718970677024</v>
      </c>
      <c r="I159" s="4">
        <f>G159*125117256</f>
        <v>1785298125864</v>
      </c>
    </row>
    <row r="160" spans="1:9" x14ac:dyDescent="0.35">
      <c r="A160" s="15"/>
      <c r="B160" s="15"/>
      <c r="C160" s="2">
        <v>2022</v>
      </c>
      <c r="D160" s="5">
        <v>2004899322333</v>
      </c>
      <c r="E160" s="5">
        <v>2093098146992</v>
      </c>
      <c r="F160" s="6">
        <f t="shared" si="2"/>
        <v>0.95786206930346252</v>
      </c>
      <c r="G160" s="14">
        <v>15731</v>
      </c>
      <c r="H160" s="4">
        <f>G160*127448943</f>
        <v>2004899322333</v>
      </c>
      <c r="I160" s="4">
        <f>G160*133055632</f>
        <v>2093098146992</v>
      </c>
    </row>
    <row r="161" spans="1:9" x14ac:dyDescent="0.35">
      <c r="A161" s="15"/>
      <c r="B161" s="15"/>
      <c r="C161" s="2">
        <v>2023</v>
      </c>
      <c r="D161" s="5">
        <v>2684015660272</v>
      </c>
      <c r="E161" s="5">
        <v>2382423880976</v>
      </c>
      <c r="F161" s="6">
        <f t="shared" si="2"/>
        <v>1.1265903106933464</v>
      </c>
      <c r="G161" s="14">
        <v>15416</v>
      </c>
      <c r="H161" s="4">
        <f>G161*174105842</f>
        <v>2684015660272</v>
      </c>
      <c r="I161" s="4">
        <f>G161*154542286</f>
        <v>2382423880976</v>
      </c>
    </row>
    <row r="162" spans="1:9" x14ac:dyDescent="0.35">
      <c r="A162" s="15">
        <v>33</v>
      </c>
      <c r="B162" s="15" t="s">
        <v>39</v>
      </c>
      <c r="C162" s="2">
        <v>2019</v>
      </c>
      <c r="D162" s="5">
        <v>2219311206091</v>
      </c>
      <c r="E162" s="5">
        <v>1875421456601</v>
      </c>
      <c r="F162" s="6">
        <f>D162/E162</f>
        <v>1.1833666498160169</v>
      </c>
      <c r="G162" s="14">
        <v>13901</v>
      </c>
      <c r="H162" s="4">
        <f>G162*159651191</f>
        <v>2219311206091</v>
      </c>
      <c r="I162" s="4">
        <f>G162*134912701</f>
        <v>1875421456601</v>
      </c>
    </row>
    <row r="163" spans="1:9" x14ac:dyDescent="0.35">
      <c r="A163" s="15"/>
      <c r="B163" s="15"/>
      <c r="C163" s="2">
        <v>2020</v>
      </c>
      <c r="D163" s="5">
        <v>2251880049055</v>
      </c>
      <c r="E163" s="5">
        <v>1902943647605</v>
      </c>
      <c r="F163" s="6">
        <f>D163/E163</f>
        <v>1.1833666498160169</v>
      </c>
      <c r="G163" s="14">
        <v>14105</v>
      </c>
      <c r="H163" s="4">
        <f>G163*159651191</f>
        <v>2251880049055</v>
      </c>
      <c r="I163" s="4">
        <f>G163*134912701</f>
        <v>1902943647605</v>
      </c>
    </row>
    <row r="164" spans="1:9" x14ac:dyDescent="0.35">
      <c r="A164" s="15"/>
      <c r="B164" s="15"/>
      <c r="C164" s="2">
        <v>2021</v>
      </c>
      <c r="D164" s="5">
        <v>2491497932812</v>
      </c>
      <c r="E164" s="5">
        <v>2512581129958</v>
      </c>
      <c r="F164" s="6">
        <f t="shared" si="2"/>
        <v>0.99160894870433403</v>
      </c>
      <c r="G164" s="14">
        <v>14269</v>
      </c>
      <c r="H164" s="4">
        <f>G164*174609148</f>
        <v>2491497932812</v>
      </c>
      <c r="I164" s="4">
        <f>G164*150857182</f>
        <v>2152581129958</v>
      </c>
    </row>
    <row r="165" spans="1:9" x14ac:dyDescent="0.35">
      <c r="A165" s="15"/>
      <c r="B165" s="15"/>
      <c r="C165" s="2">
        <v>2022</v>
      </c>
      <c r="D165" s="5">
        <v>3257982315122</v>
      </c>
      <c r="E165" s="5">
        <v>2708871986255</v>
      </c>
      <c r="F165" s="6">
        <f t="shared" si="2"/>
        <v>1.202708113064487</v>
      </c>
      <c r="G165" s="14">
        <v>15731</v>
      </c>
      <c r="H165" s="4">
        <f>G165*207105862</f>
        <v>3257982315122</v>
      </c>
      <c r="I165" s="4">
        <f>G165*172199605</f>
        <v>2708871986255</v>
      </c>
    </row>
    <row r="166" spans="1:9" x14ac:dyDescent="0.35">
      <c r="A166" s="15"/>
      <c r="B166" s="15"/>
      <c r="C166" s="2">
        <v>2023</v>
      </c>
      <c r="D166" s="5">
        <v>3649124042384</v>
      </c>
      <c r="E166" s="5">
        <v>3013371378080</v>
      </c>
      <c r="F166" s="6">
        <f t="shared" si="2"/>
        <v>1.2109772027864272</v>
      </c>
      <c r="G166" s="14">
        <v>15416</v>
      </c>
      <c r="H166" s="4">
        <f>G166*236710174</f>
        <v>3649124042384</v>
      </c>
      <c r="I166" s="4">
        <f>G166*195470380</f>
        <v>3013371378080</v>
      </c>
    </row>
    <row r="167" spans="1:9" x14ac:dyDescent="0.35">
      <c r="A167" s="15">
        <v>34</v>
      </c>
      <c r="B167" s="15" t="s">
        <v>40</v>
      </c>
      <c r="C167" s="2">
        <v>2019</v>
      </c>
      <c r="D167" s="5">
        <v>3723385797012</v>
      </c>
      <c r="E167" s="5">
        <v>3933887722546</v>
      </c>
      <c r="F167" s="6">
        <f t="shared" si="2"/>
        <v>0.94649010333274997</v>
      </c>
      <c r="G167" s="14">
        <v>13901</v>
      </c>
      <c r="H167" s="4">
        <f>G167*267850212</f>
        <v>3723385797012</v>
      </c>
      <c r="I167" s="4">
        <f>G167*282993146</f>
        <v>3933887722546</v>
      </c>
    </row>
    <row r="168" spans="1:9" x14ac:dyDescent="0.35">
      <c r="A168" s="15"/>
      <c r="B168" s="15"/>
      <c r="C168" s="2">
        <v>2020</v>
      </c>
      <c r="D168" s="5">
        <v>6741801266200</v>
      </c>
      <c r="E168" s="5">
        <v>4937205323505</v>
      </c>
      <c r="F168" s="6">
        <f t="shared" si="2"/>
        <v>1.365509599956011</v>
      </c>
      <c r="G168" s="14">
        <v>14105</v>
      </c>
      <c r="H168" s="4">
        <f>G168*477972440</f>
        <v>6741801266200</v>
      </c>
      <c r="I168" s="4">
        <f>G168*350032281</f>
        <v>4937205323505</v>
      </c>
    </row>
    <row r="169" spans="1:9" x14ac:dyDescent="0.35">
      <c r="A169" s="15"/>
      <c r="B169" s="15"/>
      <c r="C169" s="2">
        <v>2021</v>
      </c>
      <c r="D169" s="5">
        <v>7002865235937</v>
      </c>
      <c r="E169" s="5">
        <v>1586336169745</v>
      </c>
      <c r="F169" s="6">
        <f t="shared" si="2"/>
        <v>4.4144900491443089</v>
      </c>
      <c r="G169" s="14">
        <v>14269</v>
      </c>
      <c r="H169" s="4">
        <f>G169*490774773</f>
        <v>7002865235937</v>
      </c>
      <c r="I169" s="4">
        <f>G169*111173605</f>
        <v>1586336169745</v>
      </c>
    </row>
    <row r="170" spans="1:9" x14ac:dyDescent="0.35">
      <c r="A170" s="15"/>
      <c r="B170" s="15"/>
      <c r="C170" s="2">
        <v>2022</v>
      </c>
      <c r="D170" s="5">
        <v>4062823739875</v>
      </c>
      <c r="E170" s="5">
        <v>1876815553958</v>
      </c>
      <c r="F170" s="6">
        <f t="shared" si="2"/>
        <v>2.1647432169383647</v>
      </c>
      <c r="G170" s="14">
        <v>15731</v>
      </c>
      <c r="H170" s="4">
        <f>G170*258268625</f>
        <v>4062823739875</v>
      </c>
      <c r="I170" s="4">
        <f>G170*119306818</f>
        <v>1876815553958</v>
      </c>
    </row>
    <row r="171" spans="1:9" x14ac:dyDescent="0.35">
      <c r="A171" s="15"/>
      <c r="B171" s="15"/>
      <c r="C171" s="2">
        <v>2023</v>
      </c>
      <c r="D171" s="5">
        <v>3503019164456</v>
      </c>
      <c r="E171" s="5">
        <v>2268788968464</v>
      </c>
      <c r="F171" s="6">
        <f t="shared" si="2"/>
        <v>1.5440039656167714</v>
      </c>
      <c r="G171" s="14">
        <v>15416</v>
      </c>
      <c r="H171" s="4">
        <f>G171*227232691</f>
        <v>3503019164456</v>
      </c>
      <c r="I171" s="4">
        <f>G171*147171054</f>
        <v>2268788968464</v>
      </c>
    </row>
    <row r="172" spans="1:9" x14ac:dyDescent="0.35">
      <c r="A172" s="15">
        <v>35</v>
      </c>
      <c r="B172" s="15" t="s">
        <v>41</v>
      </c>
      <c r="C172" s="2">
        <v>2019</v>
      </c>
      <c r="D172" s="5">
        <v>5150328409669</v>
      </c>
      <c r="E172" s="5">
        <v>3671808569187</v>
      </c>
      <c r="F172" s="6">
        <f t="shared" si="2"/>
        <v>1.4026680075016462</v>
      </c>
      <c r="G172" s="14">
        <v>13901</v>
      </c>
    </row>
    <row r="173" spans="1:9" x14ac:dyDescent="0.35">
      <c r="A173" s="15"/>
      <c r="B173" s="15"/>
      <c r="C173" s="2">
        <v>2020</v>
      </c>
      <c r="D173" s="5">
        <v>6783907328835</v>
      </c>
      <c r="E173" s="5">
        <v>4103344226800</v>
      </c>
      <c r="F173" s="6">
        <f t="shared" si="2"/>
        <v>1.6532630347041202</v>
      </c>
      <c r="G173" s="14">
        <v>14105</v>
      </c>
    </row>
    <row r="174" spans="1:9" x14ac:dyDescent="0.35">
      <c r="A174" s="15"/>
      <c r="B174" s="15"/>
      <c r="C174" s="2">
        <v>2021</v>
      </c>
      <c r="D174" s="5">
        <v>7189814591833</v>
      </c>
      <c r="E174" s="5">
        <v>5054441190963</v>
      </c>
      <c r="F174" s="6">
        <f t="shared" si="2"/>
        <v>1.4224746752792186</v>
      </c>
      <c r="G174" s="14">
        <v>14269</v>
      </c>
    </row>
    <row r="175" spans="1:9" x14ac:dyDescent="0.35">
      <c r="A175" s="15"/>
      <c r="B175" s="15"/>
      <c r="C175" s="2">
        <v>2022</v>
      </c>
      <c r="D175" s="5">
        <v>7481966641984</v>
      </c>
      <c r="E175" s="5">
        <v>6665386619183</v>
      </c>
      <c r="F175" s="6">
        <f t="shared" si="2"/>
        <v>1.1225105263137896</v>
      </c>
      <c r="G175" s="14">
        <v>15731</v>
      </c>
    </row>
    <row r="176" spans="1:9" x14ac:dyDescent="0.35">
      <c r="A176" s="15"/>
      <c r="B176" s="15"/>
      <c r="C176" s="2">
        <v>2023</v>
      </c>
      <c r="D176" s="5">
        <v>8080297679528</v>
      </c>
      <c r="E176" s="5">
        <v>6531568735320</v>
      </c>
      <c r="F176" s="6">
        <f t="shared" si="2"/>
        <v>1.2371143911925966</v>
      </c>
      <c r="G176" s="14">
        <v>15416</v>
      </c>
    </row>
    <row r="177" spans="1:9" x14ac:dyDescent="0.35">
      <c r="A177" s="15">
        <v>36</v>
      </c>
      <c r="B177" s="15" t="s">
        <v>42</v>
      </c>
      <c r="C177" s="2">
        <v>2019</v>
      </c>
      <c r="D177" s="5">
        <v>6178035511713</v>
      </c>
      <c r="E177" s="5">
        <v>782560075636</v>
      </c>
      <c r="F177" s="6">
        <f t="shared" si="2"/>
        <v>7.8946469466794671</v>
      </c>
      <c r="G177" s="14">
        <v>13901</v>
      </c>
      <c r="H177" s="4">
        <f>G177*444431013</f>
        <v>6178035511713</v>
      </c>
      <c r="I177" s="4">
        <f>G177*56295236</f>
        <v>782560075636</v>
      </c>
    </row>
    <row r="178" spans="1:9" x14ac:dyDescent="0.35">
      <c r="A178" s="15"/>
      <c r="B178" s="15"/>
      <c r="C178" s="2">
        <v>2020</v>
      </c>
      <c r="D178" s="5">
        <v>2955775602325</v>
      </c>
      <c r="E178" s="5">
        <v>1787193038540</v>
      </c>
      <c r="F178" s="6">
        <f t="shared" si="2"/>
        <v>1.6538647692694923</v>
      </c>
      <c r="G178" s="14">
        <v>14105</v>
      </c>
      <c r="H178" s="4">
        <f>G178*209555165</f>
        <v>2955775602325</v>
      </c>
      <c r="I178" s="4">
        <f>G178*126706348</f>
        <v>1787193038540</v>
      </c>
    </row>
    <row r="179" spans="1:9" x14ac:dyDescent="0.35">
      <c r="A179" s="15"/>
      <c r="B179" s="15"/>
      <c r="C179" s="2">
        <v>2021</v>
      </c>
      <c r="D179" s="5">
        <v>3232351647195</v>
      </c>
      <c r="E179" s="5">
        <v>1872283460700</v>
      </c>
      <c r="F179" s="6">
        <f t="shared" si="2"/>
        <v>1.7264221551081291</v>
      </c>
      <c r="G179" s="14">
        <v>14269</v>
      </c>
      <c r="H179" s="4">
        <f>G179*226529655</f>
        <v>3232351647195</v>
      </c>
      <c r="I179" s="4">
        <f>G179*131220300</f>
        <v>1872382460700</v>
      </c>
    </row>
    <row r="180" spans="1:9" x14ac:dyDescent="0.35">
      <c r="A180" s="15"/>
      <c r="B180" s="15"/>
      <c r="C180" s="2">
        <v>2022</v>
      </c>
      <c r="D180" s="5">
        <v>3092219136424</v>
      </c>
      <c r="E180" s="5">
        <v>1044511405604</v>
      </c>
      <c r="F180" s="6">
        <f t="shared" si="2"/>
        <v>2.9604455440444815</v>
      </c>
      <c r="G180" s="14">
        <v>15731</v>
      </c>
      <c r="H180" s="4">
        <f>G180*196568504</f>
        <v>3092219136424</v>
      </c>
      <c r="I180" s="4">
        <f>G180*66398284</f>
        <v>1044511405604</v>
      </c>
    </row>
    <row r="181" spans="1:9" x14ac:dyDescent="0.35">
      <c r="A181" s="15"/>
      <c r="B181" s="15"/>
      <c r="C181" s="2">
        <v>2023</v>
      </c>
      <c r="D181" s="5">
        <v>2964638765944</v>
      </c>
      <c r="E181" s="5">
        <v>1001085112960</v>
      </c>
      <c r="F181" s="6">
        <f t="shared" si="2"/>
        <v>2.9614252849871887</v>
      </c>
      <c r="G181" s="14">
        <v>15416</v>
      </c>
      <c r="H181" s="4">
        <f>G181*192309209</f>
        <v>2964638765944</v>
      </c>
      <c r="I181" s="4">
        <f>G181*64938060</f>
        <v>1001085132960</v>
      </c>
    </row>
    <row r="182" spans="1:9" x14ac:dyDescent="0.35">
      <c r="A182" s="10">
        <v>37</v>
      </c>
      <c r="B182" s="15" t="s">
        <v>43</v>
      </c>
      <c r="C182" s="2">
        <v>2019</v>
      </c>
      <c r="D182" s="5">
        <v>7968995409780</v>
      </c>
      <c r="E182" s="5">
        <v>1474923790792</v>
      </c>
      <c r="F182" s="6">
        <f t="shared" si="2"/>
        <v>5.4029879099725102</v>
      </c>
      <c r="G182" s="14">
        <v>13901</v>
      </c>
      <c r="H182" s="4">
        <f>G182*573267780</f>
        <v>7968995409780</v>
      </c>
      <c r="I182" s="4">
        <f>G182*106101992</f>
        <v>1474923790792</v>
      </c>
    </row>
    <row r="183" spans="1:9" x14ac:dyDescent="0.35">
      <c r="A183" s="10"/>
      <c r="B183" s="15"/>
      <c r="C183" s="2">
        <v>2020</v>
      </c>
      <c r="D183" s="5">
        <v>8920616159910</v>
      </c>
      <c r="E183" s="5">
        <v>2992720842930</v>
      </c>
      <c r="F183" s="6">
        <f t="shared" si="2"/>
        <v>2.9807712206048396</v>
      </c>
      <c r="G183" s="14">
        <v>14105</v>
      </c>
      <c r="H183" s="4">
        <f>G183*632443542</f>
        <v>8920616159910</v>
      </c>
      <c r="I183" s="4">
        <f>G183*212174466</f>
        <v>2992720842930</v>
      </c>
    </row>
    <row r="184" spans="1:9" x14ac:dyDescent="0.35">
      <c r="A184" s="10"/>
      <c r="B184" s="15"/>
      <c r="C184" s="2">
        <v>2021</v>
      </c>
      <c r="D184" s="5">
        <v>8769853980299</v>
      </c>
      <c r="E184" s="5">
        <v>6406309809082</v>
      </c>
      <c r="F184" s="6">
        <f t="shared" si="2"/>
        <v>1.3689400359417971</v>
      </c>
      <c r="G184" s="14">
        <v>14269</v>
      </c>
      <c r="H184" s="4">
        <f>G184*614608871</f>
        <v>8769853980299</v>
      </c>
      <c r="I184" s="4">
        <f>G184*448966978</f>
        <v>6406309809082</v>
      </c>
    </row>
    <row r="185" spans="1:9" x14ac:dyDescent="0.35">
      <c r="A185" s="10"/>
      <c r="B185" s="15"/>
      <c r="C185" s="2">
        <v>2022</v>
      </c>
      <c r="D185" s="5">
        <v>10687706243182</v>
      </c>
      <c r="E185" s="5">
        <v>8100305405066</v>
      </c>
      <c r="F185" s="6">
        <f t="shared" si="2"/>
        <v>1.3194201587137464</v>
      </c>
      <c r="G185" s="14">
        <v>15731</v>
      </c>
      <c r="H185" s="4">
        <f>G185*679404122</f>
        <v>10687706243182</v>
      </c>
      <c r="I185" s="4">
        <f>G185*514926286</f>
        <v>8100305405066</v>
      </c>
    </row>
    <row r="186" spans="1:9" x14ac:dyDescent="0.35">
      <c r="A186" s="10"/>
      <c r="B186" s="15"/>
      <c r="C186" s="2">
        <v>2023</v>
      </c>
      <c r="D186" s="5">
        <v>12080780835264</v>
      </c>
      <c r="E186" s="5">
        <v>9019978942072</v>
      </c>
      <c r="F186" s="6">
        <f t="shared" si="2"/>
        <v>1.3393358136254025</v>
      </c>
      <c r="G186" s="14">
        <v>15416</v>
      </c>
      <c r="H186" s="4">
        <f>G186*783652104</f>
        <v>12080780835264</v>
      </c>
      <c r="I186" s="4">
        <f>G186*585105017</f>
        <v>9019978942072</v>
      </c>
    </row>
    <row r="187" spans="1:9" x14ac:dyDescent="0.35">
      <c r="A187" s="10">
        <v>38</v>
      </c>
      <c r="B187" s="15" t="s">
        <v>44</v>
      </c>
      <c r="C187" s="2">
        <v>2019</v>
      </c>
      <c r="D187" s="5">
        <v>1958797819669</v>
      </c>
      <c r="E187" s="5">
        <v>874890142309</v>
      </c>
      <c r="F187" s="6">
        <f t="shared" si="2"/>
        <v>2.2389071781050855</v>
      </c>
      <c r="G187" s="14">
        <v>13901</v>
      </c>
      <c r="H187" s="4">
        <f>G187*140910569</f>
        <v>1958797819669</v>
      </c>
      <c r="I187" s="4">
        <f>G187*62937209</f>
        <v>874890142309</v>
      </c>
    </row>
    <row r="188" spans="1:9" x14ac:dyDescent="0.35">
      <c r="A188" s="10"/>
      <c r="B188" s="15"/>
      <c r="C188" s="2">
        <v>2020</v>
      </c>
      <c r="D188" s="5">
        <v>2815793948975</v>
      </c>
      <c r="E188" s="5">
        <v>959282643865</v>
      </c>
      <c r="F188" s="6">
        <f t="shared" si="2"/>
        <v>2.9353120969957498</v>
      </c>
      <c r="G188" s="14">
        <v>14105</v>
      </c>
      <c r="H188" s="4">
        <f>G188*154965895</f>
        <v>2185793948975</v>
      </c>
      <c r="I188" s="4">
        <f>G188*68010113</f>
        <v>959282643865</v>
      </c>
    </row>
    <row r="189" spans="1:9" x14ac:dyDescent="0.35">
      <c r="A189" s="10"/>
      <c r="B189" s="15"/>
      <c r="C189" s="2">
        <v>2021</v>
      </c>
      <c r="D189" s="5">
        <v>2283793948975</v>
      </c>
      <c r="E189" s="5">
        <v>959282643865</v>
      </c>
      <c r="F189" s="6">
        <f t="shared" si="2"/>
        <v>2.3807310218534492</v>
      </c>
      <c r="G189" s="14">
        <v>14269</v>
      </c>
      <c r="H189" s="4">
        <f>G189*160052817</f>
        <v>2283793645773</v>
      </c>
      <c r="I189" s="4">
        <f>G189*63530764</f>
        <v>906520471516</v>
      </c>
    </row>
    <row r="190" spans="1:9" x14ac:dyDescent="0.35">
      <c r="A190" s="10"/>
      <c r="B190" s="15"/>
      <c r="C190" s="2">
        <v>2022</v>
      </c>
      <c r="D190" s="5">
        <v>2361799137758</v>
      </c>
      <c r="E190" s="5">
        <v>1255078658911</v>
      </c>
      <c r="F190" s="6">
        <f t="shared" si="2"/>
        <v>1.8817937194528296</v>
      </c>
      <c r="G190" s="14">
        <v>15731</v>
      </c>
      <c r="H190" s="4">
        <f>G190*150136618</f>
        <v>2361799137758</v>
      </c>
      <c r="I190" s="4">
        <f>G190*79783781</f>
        <v>1255078658911</v>
      </c>
    </row>
    <row r="191" spans="1:9" x14ac:dyDescent="0.35">
      <c r="A191" s="10"/>
      <c r="B191" s="15"/>
      <c r="C191" s="2">
        <v>2023</v>
      </c>
      <c r="D191" s="5">
        <v>2528638998720</v>
      </c>
      <c r="E191" s="5">
        <v>1661744349344</v>
      </c>
      <c r="F191" s="6">
        <f t="shared" ref="F191:F246" si="3">D191/E191</f>
        <v>1.5216775069632225</v>
      </c>
      <c r="G191" s="14">
        <v>15416</v>
      </c>
      <c r="H191" s="4">
        <f>G191*164026920</f>
        <v>2528638998720</v>
      </c>
      <c r="I191" s="4">
        <f>G191*107793484</f>
        <v>1661744349344</v>
      </c>
    </row>
    <row r="192" spans="1:9" x14ac:dyDescent="0.35">
      <c r="A192" s="10">
        <v>39</v>
      </c>
      <c r="B192" s="15" t="s">
        <v>45</v>
      </c>
      <c r="C192" s="2">
        <v>2019</v>
      </c>
      <c r="D192" s="5">
        <v>1534876037493</v>
      </c>
      <c r="E192" s="5">
        <v>563303286401</v>
      </c>
      <c r="F192" s="6">
        <f t="shared" si="3"/>
        <v>2.7247773527107815</v>
      </c>
      <c r="G192" s="14">
        <v>13901</v>
      </c>
      <c r="H192" s="4">
        <f>G192*110414793</f>
        <v>1534876037493</v>
      </c>
      <c r="I192" s="4">
        <f>G192*40522501</f>
        <v>563303286401</v>
      </c>
    </row>
    <row r="193" spans="1:9" x14ac:dyDescent="0.35">
      <c r="A193" s="10"/>
      <c r="B193" s="15"/>
      <c r="C193" s="2">
        <v>2020</v>
      </c>
      <c r="D193" s="5">
        <v>1459304103985</v>
      </c>
      <c r="E193" s="5">
        <v>532944716395</v>
      </c>
      <c r="F193" s="6">
        <f t="shared" si="3"/>
        <v>2.7381903959123122</v>
      </c>
      <c r="G193" s="14">
        <v>14105</v>
      </c>
      <c r="H193" s="4">
        <f>G193*103460057</f>
        <v>1459304103985</v>
      </c>
      <c r="I193" s="4">
        <f>G193*37784099</f>
        <v>532944716395</v>
      </c>
    </row>
    <row r="194" spans="1:9" x14ac:dyDescent="0.35">
      <c r="A194" s="10"/>
      <c r="B194" s="15"/>
      <c r="C194" s="2">
        <v>2021</v>
      </c>
      <c r="D194" s="5">
        <v>1447335919110</v>
      </c>
      <c r="E194" s="5">
        <v>502197469269</v>
      </c>
      <c r="F194" s="6">
        <f t="shared" si="3"/>
        <v>2.8820056007385824</v>
      </c>
      <c r="G194" s="14">
        <v>14269</v>
      </c>
      <c r="H194" s="4">
        <f>G194*101432190</f>
        <v>1447335919110</v>
      </c>
      <c r="I194" s="4">
        <f>G194*35195001</f>
        <v>502197469269</v>
      </c>
    </row>
    <row r="195" spans="1:9" x14ac:dyDescent="0.35">
      <c r="A195" s="10"/>
      <c r="B195" s="15"/>
      <c r="C195" s="2">
        <v>2022</v>
      </c>
      <c r="D195" s="5">
        <v>1645609165727</v>
      </c>
      <c r="E195" s="5">
        <v>458579871119</v>
      </c>
      <c r="F195" s="6">
        <f t="shared" si="3"/>
        <v>3.5884897470782571</v>
      </c>
      <c r="G195" s="14">
        <v>15731</v>
      </c>
      <c r="H195" s="4">
        <f>G195*104609317</f>
        <v>1645609165727</v>
      </c>
      <c r="I195" s="4">
        <f>G195*29151349</f>
        <v>458579871119</v>
      </c>
    </row>
    <row r="196" spans="1:9" x14ac:dyDescent="0.35">
      <c r="A196" s="10"/>
      <c r="B196" s="15"/>
      <c r="C196" s="2">
        <v>2023</v>
      </c>
      <c r="D196" s="5">
        <v>1629502340320</v>
      </c>
      <c r="E196" s="5">
        <v>367215301816</v>
      </c>
      <c r="F196" s="6">
        <f t="shared" si="3"/>
        <v>4.4374576229846001</v>
      </c>
      <c r="G196" s="14">
        <v>15416</v>
      </c>
      <c r="H196" s="4">
        <f>G196*105702020</f>
        <v>1629502340320</v>
      </c>
      <c r="I196" s="4">
        <f>G196*23820401</f>
        <v>367215301816</v>
      </c>
    </row>
    <row r="197" spans="1:9" x14ac:dyDescent="0.35">
      <c r="A197" s="10">
        <v>40</v>
      </c>
      <c r="B197" s="15" t="s">
        <v>46</v>
      </c>
      <c r="C197" s="2">
        <v>2019</v>
      </c>
      <c r="D197" s="5">
        <v>12373000773306</v>
      </c>
      <c r="E197" s="5">
        <v>5052617335401</v>
      </c>
      <c r="F197" s="6">
        <f t="shared" si="3"/>
        <v>2.4488299730547514</v>
      </c>
      <c r="G197" s="14">
        <v>13901</v>
      </c>
      <c r="H197" s="4">
        <f>G197*890079906</f>
        <v>12373000773306</v>
      </c>
      <c r="I197" s="4">
        <f>G197*363471501</f>
        <v>5052617335401</v>
      </c>
    </row>
    <row r="198" spans="1:9" x14ac:dyDescent="0.35">
      <c r="A198" s="10"/>
      <c r="B198" s="15"/>
      <c r="C198" s="2">
        <v>2020</v>
      </c>
      <c r="D198" s="5">
        <v>13514256477540</v>
      </c>
      <c r="E198" s="5">
        <v>5438427231865</v>
      </c>
      <c r="F198" s="6">
        <f t="shared" si="3"/>
        <v>2.4849567533710579</v>
      </c>
      <c r="G198" s="14">
        <v>14105</v>
      </c>
      <c r="H198" s="4">
        <f>G198*958118148</f>
        <v>13514256477540</v>
      </c>
      <c r="I198" s="4">
        <f>G198*385567333</f>
        <v>5438427231965</v>
      </c>
    </row>
    <row r="199" spans="1:9" x14ac:dyDescent="0.35">
      <c r="A199" s="10"/>
      <c r="B199" s="15"/>
      <c r="C199" s="2">
        <v>2021</v>
      </c>
      <c r="D199" s="5">
        <v>7815445417766</v>
      </c>
      <c r="E199" s="5">
        <v>5787188058610</v>
      </c>
      <c r="F199" s="6">
        <f t="shared" si="3"/>
        <v>1.3504737255148329</v>
      </c>
      <c r="G199" s="14">
        <v>14269</v>
      </c>
      <c r="H199" s="4">
        <f>G199*547722014</f>
        <v>7815445417766</v>
      </c>
      <c r="I199" s="4">
        <f>G199*405577690</f>
        <v>5787188058610</v>
      </c>
    </row>
    <row r="200" spans="1:9" x14ac:dyDescent="0.35">
      <c r="A200" s="10"/>
      <c r="B200" s="15"/>
      <c r="C200" s="2">
        <v>2022</v>
      </c>
      <c r="D200" s="5">
        <v>9345335006791</v>
      </c>
      <c r="E200" s="5">
        <v>8435101623853</v>
      </c>
      <c r="F200" s="6">
        <f t="shared" si="3"/>
        <v>1.1079101857367097</v>
      </c>
      <c r="G200" s="14">
        <v>15731</v>
      </c>
      <c r="H200" s="4">
        <f>G200*594071261</f>
        <v>9345335006791</v>
      </c>
      <c r="I200" s="4">
        <f>G200*536208863</f>
        <v>8435101623853</v>
      </c>
    </row>
    <row r="201" spans="1:9" x14ac:dyDescent="0.35">
      <c r="A201" s="10"/>
      <c r="B201" s="15"/>
      <c r="C201" s="2">
        <v>2023</v>
      </c>
      <c r="D201" s="5">
        <v>18246537849320</v>
      </c>
      <c r="E201" s="5">
        <v>8845337676120</v>
      </c>
      <c r="F201" s="6">
        <f t="shared" si="3"/>
        <v>2.0628424281167557</v>
      </c>
      <c r="G201" s="14">
        <v>15416</v>
      </c>
      <c r="H201" s="4">
        <f>G201*1183610395</f>
        <v>18246537849320</v>
      </c>
      <c r="I201" s="4">
        <f>G201*573776445</f>
        <v>8845337676120</v>
      </c>
    </row>
    <row r="202" spans="1:9" x14ac:dyDescent="0.35">
      <c r="A202" s="10">
        <v>41</v>
      </c>
      <c r="B202" s="15" t="s">
        <v>47</v>
      </c>
      <c r="C202" s="2">
        <v>2019</v>
      </c>
      <c r="D202" s="5">
        <v>2314994107000</v>
      </c>
      <c r="E202" s="5">
        <v>679839769000</v>
      </c>
      <c r="F202" s="6">
        <f t="shared" si="3"/>
        <v>3.405205480116595</v>
      </c>
      <c r="G202" s="14"/>
      <c r="I202" s="4"/>
    </row>
    <row r="203" spans="1:9" x14ac:dyDescent="0.35">
      <c r="A203" s="10"/>
      <c r="B203" s="15"/>
      <c r="C203" s="2">
        <v>2020</v>
      </c>
      <c r="D203" s="5">
        <v>2260164528000</v>
      </c>
      <c r="E203" s="5">
        <v>1149951288000</v>
      </c>
      <c r="F203" s="6">
        <f t="shared" si="3"/>
        <v>1.9654437119079082</v>
      </c>
      <c r="G203" s="14"/>
      <c r="I203" s="4"/>
    </row>
    <row r="204" spans="1:9" x14ac:dyDescent="0.35">
      <c r="A204" s="10"/>
      <c r="B204" s="15"/>
      <c r="C204" s="2">
        <v>2021</v>
      </c>
      <c r="D204" s="5">
        <v>2431647038000</v>
      </c>
      <c r="E204" s="5">
        <v>1124804402000</v>
      </c>
      <c r="F204" s="6">
        <f t="shared" si="3"/>
        <v>2.1618399018321055</v>
      </c>
      <c r="G204" s="14"/>
      <c r="I204" s="4"/>
    </row>
    <row r="205" spans="1:9" x14ac:dyDescent="0.35">
      <c r="A205" s="10"/>
      <c r="B205" s="15"/>
      <c r="C205" s="2">
        <v>2022</v>
      </c>
      <c r="D205" s="5">
        <v>2190849128000</v>
      </c>
      <c r="E205" s="5">
        <v>1284956578000</v>
      </c>
      <c r="F205" s="6">
        <f t="shared" si="3"/>
        <v>1.7049985699983707</v>
      </c>
      <c r="G205" s="14"/>
      <c r="I205" s="4"/>
    </row>
    <row r="206" spans="1:9" x14ac:dyDescent="0.35">
      <c r="A206" s="10"/>
      <c r="B206" s="15"/>
      <c r="C206" s="2">
        <v>2023</v>
      </c>
      <c r="D206" s="5">
        <v>2303406754000</v>
      </c>
      <c r="E206" s="5">
        <v>1326954810000</v>
      </c>
      <c r="F206" s="6">
        <f t="shared" si="3"/>
        <v>1.735859229448816</v>
      </c>
      <c r="G206" s="14"/>
      <c r="I206" s="4"/>
    </row>
    <row r="207" spans="1:9" x14ac:dyDescent="0.35">
      <c r="A207" s="10">
        <v>42</v>
      </c>
      <c r="B207" s="15" t="s">
        <v>48</v>
      </c>
      <c r="C207" s="2">
        <v>2019</v>
      </c>
      <c r="D207" s="5">
        <v>12780985948646</v>
      </c>
      <c r="E207" s="5">
        <v>-646969415814</v>
      </c>
      <c r="F207" s="6">
        <f t="shared" si="3"/>
        <v>-19.755162510371989</v>
      </c>
      <c r="G207" s="14">
        <v>13901</v>
      </c>
      <c r="H207" s="4">
        <f>G207*919429246</f>
        <v>12780985948646</v>
      </c>
      <c r="I207" s="4">
        <f>-G207*46541214</f>
        <v>-646969415814</v>
      </c>
    </row>
    <row r="208" spans="1:9" x14ac:dyDescent="0.35">
      <c r="A208" s="10"/>
      <c r="B208" s="15"/>
      <c r="C208" s="2">
        <v>2020</v>
      </c>
      <c r="D208" s="5">
        <v>10666449896830</v>
      </c>
      <c r="E208" s="5">
        <v>-741150455045</v>
      </c>
      <c r="F208" s="6">
        <f t="shared" si="3"/>
        <v>-14.391747079454159</v>
      </c>
      <c r="G208" s="14">
        <v>14105</v>
      </c>
      <c r="H208" s="4">
        <f>G208*756217646</f>
        <v>10666449896830</v>
      </c>
      <c r="I208" s="4">
        <f>-G208*52545229</f>
        <v>-741150455045</v>
      </c>
    </row>
    <row r="209" spans="1:9" x14ac:dyDescent="0.35">
      <c r="A209" s="10"/>
      <c r="B209" s="15"/>
      <c r="C209" s="2">
        <v>2021</v>
      </c>
      <c r="D209" s="5">
        <v>15828488889286</v>
      </c>
      <c r="E209" s="5">
        <v>1946487770212</v>
      </c>
      <c r="F209" s="6">
        <f t="shared" si="3"/>
        <v>8.1318203646160363</v>
      </c>
      <c r="G209" s="14">
        <v>14269</v>
      </c>
      <c r="H209" s="4">
        <f>G209*1109292094</f>
        <v>15828488889286</v>
      </c>
      <c r="I209" s="4">
        <f>G209*136413748</f>
        <v>1946487770212</v>
      </c>
    </row>
    <row r="210" spans="1:9" x14ac:dyDescent="0.35">
      <c r="A210" s="10"/>
      <c r="B210" s="15"/>
      <c r="C210" s="2">
        <v>2022</v>
      </c>
      <c r="D210" s="5">
        <v>20128452344857</v>
      </c>
      <c r="E210" s="5">
        <v>2228995314295</v>
      </c>
      <c r="F210" s="6">
        <f t="shared" si="3"/>
        <v>9.0302802414025471</v>
      </c>
      <c r="G210" s="14">
        <v>15731</v>
      </c>
      <c r="H210" s="4">
        <f>G210*1279540547</f>
        <v>20128452344857</v>
      </c>
      <c r="I210" s="4">
        <f>G210*141694445</f>
        <v>2228995314295</v>
      </c>
    </row>
    <row r="211" spans="1:9" x14ac:dyDescent="0.35">
      <c r="A211" s="10"/>
      <c r="B211" s="15"/>
      <c r="C211" s="2">
        <v>2023</v>
      </c>
      <c r="D211" s="5">
        <v>26019496001864</v>
      </c>
      <c r="E211" s="5">
        <v>2411298835192</v>
      </c>
      <c r="F211" s="6">
        <f t="shared" si="3"/>
        <v>10.790655899683291</v>
      </c>
      <c r="G211" s="14">
        <v>15416</v>
      </c>
      <c r="H211" s="4">
        <f>G211*1687824079</f>
        <v>26019496001864</v>
      </c>
      <c r="I211" s="4">
        <f>G211*156415337</f>
        <v>2411298835192</v>
      </c>
    </row>
    <row r="212" spans="1:9" x14ac:dyDescent="0.35">
      <c r="A212" s="10">
        <v>43</v>
      </c>
      <c r="B212" s="15" t="s">
        <v>49</v>
      </c>
      <c r="C212" s="2">
        <v>2019</v>
      </c>
      <c r="D212" s="5">
        <v>12529530287012</v>
      </c>
      <c r="E212" s="5">
        <v>3900217179079</v>
      </c>
      <c r="F212" s="6">
        <f t="shared" si="3"/>
        <v>3.2125211781080183</v>
      </c>
      <c r="G212" s="14">
        <v>13901</v>
      </c>
      <c r="H212" s="4">
        <f>G212*901340212</f>
        <v>12529530287012</v>
      </c>
      <c r="I212" s="4">
        <f>G212*280570979</f>
        <v>3900217179079</v>
      </c>
    </row>
    <row r="213" spans="1:9" x14ac:dyDescent="0.35">
      <c r="A213" s="10"/>
      <c r="B213" s="15"/>
      <c r="C213" s="2">
        <v>2020</v>
      </c>
      <c r="D213" s="5">
        <v>10024682101070</v>
      </c>
      <c r="E213" s="5">
        <v>3719931664995</v>
      </c>
      <c r="F213" s="6">
        <f t="shared" si="3"/>
        <v>2.6948565199203665</v>
      </c>
      <c r="G213" s="14">
        <v>14105</v>
      </c>
      <c r="H213" s="4">
        <f>G213*710718334</f>
        <v>10024682101070</v>
      </c>
      <c r="I213" s="4">
        <f>G213*263731419</f>
        <v>3719931664995</v>
      </c>
    </row>
    <row r="214" spans="1:9" x14ac:dyDescent="0.35">
      <c r="A214" s="10"/>
      <c r="B214" s="15"/>
      <c r="C214" s="2">
        <v>2021</v>
      </c>
      <c r="D214" s="5">
        <v>19552840921742</v>
      </c>
      <c r="E214" s="5">
        <v>3790648160841</v>
      </c>
      <c r="F214" s="6">
        <f t="shared" si="3"/>
        <v>5.15817878423303</v>
      </c>
      <c r="G214" s="14">
        <v>14269</v>
      </c>
      <c r="H214" s="4">
        <f>G214*1370302118</f>
        <v>19552840921742</v>
      </c>
      <c r="I214" s="4">
        <f>G214*265656189</f>
        <v>3790648160841</v>
      </c>
    </row>
    <row r="215" spans="1:9" x14ac:dyDescent="0.35">
      <c r="A215" s="10"/>
      <c r="B215" s="15"/>
      <c r="C215" s="2">
        <v>2022</v>
      </c>
      <c r="D215" s="5">
        <v>20684049697656</v>
      </c>
      <c r="E215" s="5">
        <v>4040726301861</v>
      </c>
      <c r="F215" s="6">
        <f t="shared" si="3"/>
        <v>5.1188940186643519</v>
      </c>
      <c r="G215" s="14">
        <v>15731</v>
      </c>
      <c r="H215" s="4">
        <f>G215*1314859176</f>
        <v>20684049697656</v>
      </c>
      <c r="I215" s="4">
        <f>G215*256228231</f>
        <v>4030726301861</v>
      </c>
    </row>
    <row r="216" spans="1:9" x14ac:dyDescent="0.35">
      <c r="A216" s="10"/>
      <c r="B216" s="15"/>
      <c r="C216" s="2">
        <v>2023</v>
      </c>
      <c r="D216" s="5">
        <v>24696346718688</v>
      </c>
      <c r="E216" s="5">
        <v>4402477693376</v>
      </c>
      <c r="F216" s="6">
        <f t="shared" si="3"/>
        <v>5.6096472120338738</v>
      </c>
      <c r="G216" s="14">
        <v>15416</v>
      </c>
      <c r="H216" s="4">
        <f>G216*1601994468</f>
        <v>24696346718688</v>
      </c>
      <c r="I216" s="4">
        <f>G216*272604936</f>
        <v>4202477693376</v>
      </c>
    </row>
    <row r="217" spans="1:9" x14ac:dyDescent="0.35">
      <c r="A217" s="10">
        <v>44</v>
      </c>
      <c r="B217" s="15" t="s">
        <v>50</v>
      </c>
      <c r="C217" s="2">
        <v>2019</v>
      </c>
      <c r="D217" s="5">
        <v>984445211973</v>
      </c>
      <c r="E217" s="5">
        <v>801038813777</v>
      </c>
      <c r="F217" s="6">
        <f t="shared" si="3"/>
        <v>1.2289606883481907</v>
      </c>
      <c r="G217" s="14"/>
    </row>
    <row r="218" spans="1:9" x14ac:dyDescent="0.35">
      <c r="A218" s="10"/>
      <c r="B218" s="15"/>
      <c r="C218" s="2">
        <v>2020</v>
      </c>
      <c r="D218" s="5">
        <v>1008746103329</v>
      </c>
      <c r="E218" s="5">
        <v>-155781522771</v>
      </c>
      <c r="F218" s="6">
        <f t="shared" si="3"/>
        <v>-6.4753899267749766</v>
      </c>
      <c r="G218" s="14"/>
    </row>
    <row r="219" spans="1:9" x14ac:dyDescent="0.35">
      <c r="A219" s="10"/>
      <c r="B219" s="15"/>
      <c r="C219" s="2">
        <v>2021</v>
      </c>
      <c r="D219" s="5">
        <v>742134731975</v>
      </c>
      <c r="E219" s="5">
        <v>-98369816665</v>
      </c>
      <c r="F219" s="6">
        <f t="shared" si="3"/>
        <v>-7.5443337919633606</v>
      </c>
      <c r="G219" s="14"/>
    </row>
    <row r="220" spans="1:9" x14ac:dyDescent="0.35">
      <c r="A220" s="10"/>
      <c r="B220" s="15"/>
      <c r="C220" s="2">
        <v>2022</v>
      </c>
      <c r="D220" s="5">
        <v>771247601160</v>
      </c>
      <c r="E220" s="5">
        <v>-156049190847</v>
      </c>
      <c r="F220" s="6">
        <f t="shared" si="3"/>
        <v>-4.942336432338041</v>
      </c>
      <c r="G220" s="14"/>
    </row>
    <row r="221" spans="1:9" x14ac:dyDescent="0.35">
      <c r="A221" s="10"/>
      <c r="B221" s="15"/>
      <c r="C221" s="2">
        <v>2023</v>
      </c>
      <c r="D221" s="5">
        <v>765839828973</v>
      </c>
      <c r="E221" s="5">
        <v>-168766033092</v>
      </c>
      <c r="F221" s="6">
        <f t="shared" si="3"/>
        <v>-4.5378789495840977</v>
      </c>
      <c r="G221" s="14"/>
    </row>
    <row r="222" spans="1:9" x14ac:dyDescent="0.35">
      <c r="A222" s="10">
        <v>45</v>
      </c>
      <c r="B222" s="15" t="s">
        <v>51</v>
      </c>
      <c r="C222" s="2">
        <v>2019</v>
      </c>
      <c r="D222" s="5">
        <v>206959800000000</v>
      </c>
      <c r="E222" s="5">
        <v>265278528000000</v>
      </c>
      <c r="F222" s="6">
        <f t="shared" si="3"/>
        <v>0.78016039051603903</v>
      </c>
      <c r="G222" s="14"/>
    </row>
    <row r="223" spans="1:9" x14ac:dyDescent="0.35">
      <c r="A223" s="10"/>
      <c r="B223" s="15"/>
      <c r="C223" s="2">
        <v>2020</v>
      </c>
      <c r="D223" s="5">
        <v>289265909000000</v>
      </c>
      <c r="E223" s="5">
        <v>236942545000000</v>
      </c>
      <c r="F223" s="6">
        <f t="shared" si="3"/>
        <v>1.2208272220592549</v>
      </c>
      <c r="G223" s="14"/>
    </row>
    <row r="224" spans="1:9" x14ac:dyDescent="0.35">
      <c r="A224" s="10"/>
      <c r="B224" s="15"/>
      <c r="C224" s="2">
        <v>2021</v>
      </c>
      <c r="D224" s="5">
        <v>184958865000000</v>
      </c>
      <c r="E224" s="5">
        <v>232859445000000</v>
      </c>
      <c r="F224" s="6">
        <f t="shared" si="3"/>
        <v>0.79429402144284933</v>
      </c>
      <c r="G224" s="14"/>
    </row>
    <row r="225" spans="1:9" x14ac:dyDescent="0.35">
      <c r="A225" s="10"/>
      <c r="B225" s="15"/>
      <c r="C225" s="2">
        <v>2022</v>
      </c>
      <c r="D225" s="5">
        <v>179775131000000</v>
      </c>
      <c r="E225" s="5">
        <v>259867028000000</v>
      </c>
      <c r="F225" s="6">
        <f t="shared" si="3"/>
        <v>0.69179661761475952</v>
      </c>
      <c r="G225" s="14"/>
    </row>
    <row r="226" spans="1:9" x14ac:dyDescent="0.35">
      <c r="A226" s="10"/>
      <c r="B226" s="15"/>
      <c r="C226" s="2">
        <v>2023</v>
      </c>
      <c r="D226" s="5">
        <v>541020552000000</v>
      </c>
      <c r="E226" s="5">
        <v>481053980000000</v>
      </c>
      <c r="F226" s="6">
        <f t="shared" si="3"/>
        <v>1.1246566383257031</v>
      </c>
      <c r="G226" s="14"/>
    </row>
    <row r="227" spans="1:9" x14ac:dyDescent="0.35">
      <c r="A227" s="10">
        <v>46</v>
      </c>
      <c r="B227" s="15" t="s">
        <v>52</v>
      </c>
      <c r="C227" s="2">
        <v>2019</v>
      </c>
      <c r="D227" s="5">
        <v>644302939895</v>
      </c>
      <c r="E227" s="5">
        <v>572056885111</v>
      </c>
      <c r="F227" s="6">
        <f t="shared" si="3"/>
        <v>1.1262917319314871</v>
      </c>
      <c r="G227" s="14">
        <v>13901</v>
      </c>
      <c r="H227" s="4">
        <f>G227*46349395</f>
        <v>644302939895</v>
      </c>
      <c r="I227" s="4">
        <f>G227*41152211</f>
        <v>572056885111</v>
      </c>
    </row>
    <row r="228" spans="1:9" x14ac:dyDescent="0.35">
      <c r="A228" s="10"/>
      <c r="B228" s="15"/>
      <c r="C228" s="2">
        <v>2020</v>
      </c>
      <c r="D228" s="5">
        <v>580853745290</v>
      </c>
      <c r="E228" s="5">
        <v>567162191050</v>
      </c>
      <c r="F228" s="6">
        <f t="shared" si="3"/>
        <v>1.0241404565679044</v>
      </c>
      <c r="G228" s="14">
        <v>14105</v>
      </c>
      <c r="H228" s="4">
        <f>G228*41180698</f>
        <v>580853745290</v>
      </c>
      <c r="I228" s="4">
        <f>G228*40210010</f>
        <v>567162191050</v>
      </c>
    </row>
    <row r="229" spans="1:9" x14ac:dyDescent="0.35">
      <c r="A229" s="10"/>
      <c r="B229" s="15"/>
      <c r="C229" s="2">
        <v>2021</v>
      </c>
      <c r="D229" s="5">
        <v>497290003444</v>
      </c>
      <c r="E229" s="5">
        <v>510682772692</v>
      </c>
      <c r="F229" s="6">
        <f t="shared" si="3"/>
        <v>0.97377477768164822</v>
      </c>
      <c r="G229" s="14">
        <v>14269</v>
      </c>
      <c r="H229" s="4">
        <f>G229*34851076</f>
        <v>497290003444</v>
      </c>
      <c r="I229" s="4">
        <f>G229*35789668</f>
        <v>510682772692</v>
      </c>
    </row>
    <row r="230" spans="1:9" x14ac:dyDescent="0.35">
      <c r="A230" s="10"/>
      <c r="B230" s="15"/>
      <c r="C230" s="2">
        <v>2022</v>
      </c>
      <c r="D230" s="5">
        <v>507296355545</v>
      </c>
      <c r="E230" s="5">
        <v>486559043450</v>
      </c>
      <c r="F230" s="6">
        <f t="shared" si="3"/>
        <v>1.0426203404790502</v>
      </c>
      <c r="G230" s="14">
        <v>15731</v>
      </c>
      <c r="H230" s="4">
        <f>G230*32248195</f>
        <v>507296355545</v>
      </c>
      <c r="I230" s="4">
        <f>G230*30929950</f>
        <v>486559043450</v>
      </c>
    </row>
    <row r="231" spans="1:9" x14ac:dyDescent="0.35">
      <c r="A231" s="10"/>
      <c r="B231" s="15"/>
      <c r="C231" s="2">
        <v>2023</v>
      </c>
      <c r="D231" s="5">
        <v>466509572824</v>
      </c>
      <c r="E231" s="5">
        <v>399864663224</v>
      </c>
      <c r="F231" s="6">
        <f t="shared" si="3"/>
        <v>1.1666686649994531</v>
      </c>
      <c r="G231" s="14">
        <v>15416</v>
      </c>
      <c r="H231" s="4">
        <f>G231*30261389</f>
        <v>466509572824</v>
      </c>
      <c r="I231" s="4">
        <f>G231*25938289</f>
        <v>399864663224</v>
      </c>
    </row>
    <row r="232" spans="1:9" x14ac:dyDescent="0.35">
      <c r="A232" s="10">
        <v>47</v>
      </c>
      <c r="B232" s="15" t="s">
        <v>53</v>
      </c>
      <c r="C232" s="2">
        <v>2019</v>
      </c>
      <c r="D232" s="5">
        <v>1117121308858</v>
      </c>
      <c r="E232" s="5">
        <v>2367585763858</v>
      </c>
      <c r="F232" s="6">
        <f t="shared" si="3"/>
        <v>0.47183984880769086</v>
      </c>
      <c r="G232" s="14">
        <v>13901</v>
      </c>
      <c r="H232" s="4">
        <f>G232*80362658</f>
        <v>1117121308858</v>
      </c>
      <c r="I232" s="4">
        <f>G232*170317658</f>
        <v>2367585763858</v>
      </c>
    </row>
    <row r="233" spans="1:9" x14ac:dyDescent="0.35">
      <c r="A233" s="10"/>
      <c r="B233" s="15"/>
      <c r="C233" s="2">
        <v>2020</v>
      </c>
      <c r="D233" s="5">
        <v>1029209732915</v>
      </c>
      <c r="E233" s="5">
        <v>2685254114725</v>
      </c>
      <c r="F233" s="6">
        <f t="shared" si="3"/>
        <v>0.38328206156399564</v>
      </c>
      <c r="G233" s="14">
        <v>14105</v>
      </c>
      <c r="H233" s="4">
        <f>G233*72967723</f>
        <v>1029209732915</v>
      </c>
      <c r="I233" s="4">
        <f>G233*190376045</f>
        <v>2685254114725</v>
      </c>
    </row>
    <row r="234" spans="1:9" x14ac:dyDescent="0.35">
      <c r="A234" s="10"/>
      <c r="B234" s="15"/>
      <c r="C234" s="2">
        <v>2021</v>
      </c>
      <c r="D234" s="5">
        <v>2607013264417</v>
      </c>
      <c r="E234" s="5">
        <v>3604530516417</v>
      </c>
      <c r="F234" s="6">
        <f t="shared" si="3"/>
        <v>0.72326014512659509</v>
      </c>
      <c r="G234" s="14">
        <v>14269</v>
      </c>
      <c r="H234" s="4">
        <f>G234*182704693</f>
        <v>2607013264417</v>
      </c>
      <c r="I234" s="4">
        <f>G234*252612693</f>
        <v>3604530516417</v>
      </c>
    </row>
    <row r="235" spans="1:9" x14ac:dyDescent="0.35">
      <c r="A235" s="10"/>
      <c r="B235" s="15"/>
      <c r="C235" s="2">
        <v>2022</v>
      </c>
      <c r="D235" s="5">
        <v>2900063351131</v>
      </c>
      <c r="E235" s="5">
        <v>3468335862794</v>
      </c>
      <c r="F235" s="6">
        <f t="shared" si="3"/>
        <v>0.83615412862432115</v>
      </c>
      <c r="G235" s="14">
        <v>15731</v>
      </c>
      <c r="H235" s="4">
        <f>G235*184353401</f>
        <v>2900063351131</v>
      </c>
      <c r="I235" s="4">
        <f>G235*220477774</f>
        <v>3468335862794</v>
      </c>
    </row>
    <row r="236" spans="1:9" x14ac:dyDescent="0.35">
      <c r="A236" s="10"/>
      <c r="B236" s="15"/>
      <c r="C236" s="2">
        <v>2023</v>
      </c>
      <c r="D236" s="5">
        <v>2558610678008</v>
      </c>
      <c r="E236" s="5">
        <v>3738125019360</v>
      </c>
      <c r="F236" s="6">
        <f t="shared" si="3"/>
        <v>0.68446364547915972</v>
      </c>
      <c r="G236" s="14">
        <v>15416</v>
      </c>
      <c r="H236" s="4">
        <f>G236*165971113</f>
        <v>2558610678008</v>
      </c>
      <c r="I236" s="4">
        <f>G236*242483460</f>
        <v>3738125019360</v>
      </c>
    </row>
    <row r="237" spans="1:9" x14ac:dyDescent="0.35">
      <c r="A237" s="10">
        <v>48</v>
      </c>
      <c r="B237" s="15" t="s">
        <v>54</v>
      </c>
      <c r="C237" s="2">
        <v>2019</v>
      </c>
      <c r="D237" s="5">
        <v>9160202403960</v>
      </c>
      <c r="E237" s="5">
        <v>8605833345863</v>
      </c>
      <c r="F237" s="6">
        <f t="shared" si="3"/>
        <v>1.0644178240290345</v>
      </c>
      <c r="G237" s="14">
        <v>13901</v>
      </c>
      <c r="H237" s="4">
        <f>G237*658959960</f>
        <v>9160202403960</v>
      </c>
      <c r="I237" s="4">
        <f>G237*619080163</f>
        <v>8605833345863</v>
      </c>
    </row>
    <row r="238" spans="1:9" x14ac:dyDescent="0.35">
      <c r="A238" s="10"/>
      <c r="B238" s="15"/>
      <c r="C238" s="2">
        <v>2020</v>
      </c>
      <c r="D238" s="5">
        <v>10694005453040</v>
      </c>
      <c r="E238" s="5">
        <v>12152215982270</v>
      </c>
      <c r="F238" s="6">
        <f t="shared" si="3"/>
        <v>0.88000455790470489</v>
      </c>
      <c r="G238" s="14">
        <v>14105</v>
      </c>
      <c r="H238" s="4">
        <f>G238*758171248</f>
        <v>10694005453040</v>
      </c>
      <c r="I238" s="4">
        <f>G238*861553774</f>
        <v>12152215982270</v>
      </c>
    </row>
    <row r="239" spans="1:9" x14ac:dyDescent="0.35">
      <c r="A239" s="10"/>
      <c r="B239" s="15"/>
      <c r="C239" s="2">
        <v>2021</v>
      </c>
      <c r="D239" s="5">
        <v>8144828202773</v>
      </c>
      <c r="E239" s="5">
        <v>26581811050606</v>
      </c>
      <c r="F239" s="6">
        <f t="shared" si="3"/>
        <v>0.30640606794123298</v>
      </c>
      <c r="G239" s="14">
        <v>14269</v>
      </c>
      <c r="H239" s="4">
        <f>G239*570805817</f>
        <v>8144828202773</v>
      </c>
      <c r="I239" s="4">
        <f>G239*1862906374</f>
        <v>26581811050606</v>
      </c>
    </row>
    <row r="240" spans="1:9" x14ac:dyDescent="0.35">
      <c r="A240" s="10"/>
      <c r="B240" s="15"/>
      <c r="C240" s="2">
        <v>2022</v>
      </c>
      <c r="D240" s="5">
        <v>30678097810458</v>
      </c>
      <c r="E240" s="5">
        <v>31387915594857</v>
      </c>
      <c r="F240" s="6">
        <f t="shared" si="3"/>
        <v>0.97738563485511265</v>
      </c>
      <c r="G240" s="14">
        <v>15731</v>
      </c>
      <c r="H240" s="4">
        <f>G240*1950168318</f>
        <v>30678097810458</v>
      </c>
      <c r="I240" s="4">
        <f>G240*1995290547</f>
        <v>31387915594857</v>
      </c>
    </row>
    <row r="241" spans="1:9" x14ac:dyDescent="0.35">
      <c r="A241" s="10"/>
      <c r="B241" s="15"/>
      <c r="C241" s="2">
        <v>2023</v>
      </c>
      <c r="D241" s="5">
        <v>22592172881424</v>
      </c>
      <c r="E241" s="5">
        <v>30505461402032</v>
      </c>
      <c r="F241" s="6">
        <f t="shared" si="3"/>
        <v>0.74059436714237381</v>
      </c>
      <c r="G241" s="14">
        <v>15416</v>
      </c>
      <c r="H241" s="4">
        <f>G241*1465501614</f>
        <v>22592172881424</v>
      </c>
      <c r="I241" s="4">
        <f>G241*1978818202</f>
        <v>30505461402032</v>
      </c>
    </row>
    <row r="242" spans="1:9" x14ac:dyDescent="0.35">
      <c r="A242" s="10">
        <v>49</v>
      </c>
      <c r="B242" s="15" t="s">
        <v>55</v>
      </c>
      <c r="C242" s="2">
        <v>2019</v>
      </c>
      <c r="D242" s="5">
        <v>823832672874</v>
      </c>
      <c r="E242" s="5">
        <v>253479216303</v>
      </c>
      <c r="F242" s="6">
        <f t="shared" si="3"/>
        <v>3.2500994948998891</v>
      </c>
      <c r="G242" s="14">
        <v>13901</v>
      </c>
      <c r="H242" s="4">
        <f>G242*59264274</f>
        <v>823832672874</v>
      </c>
      <c r="I242" s="4">
        <f>G242*18234603</f>
        <v>253479216303</v>
      </c>
    </row>
    <row r="243" spans="1:9" x14ac:dyDescent="0.35">
      <c r="A243" s="10"/>
      <c r="B243" s="15"/>
      <c r="C243" s="2">
        <v>2020</v>
      </c>
      <c r="D243" s="5">
        <v>423465500640</v>
      </c>
      <c r="E243" s="5">
        <v>101428913950</v>
      </c>
      <c r="F243" s="6">
        <f t="shared" si="3"/>
        <v>4.1749978792906122</v>
      </c>
      <c r="G243" s="14">
        <v>14105</v>
      </c>
      <c r="H243" s="4">
        <f>G243*30022368</f>
        <v>423465500640</v>
      </c>
      <c r="I243" s="4">
        <f>G243*7190990</f>
        <v>101428913950</v>
      </c>
    </row>
    <row r="244" spans="1:9" x14ac:dyDescent="0.35">
      <c r="A244" s="10"/>
      <c r="B244" s="15"/>
      <c r="C244" s="2">
        <v>2021</v>
      </c>
      <c r="D244" s="5">
        <v>364442531340</v>
      </c>
      <c r="E244" s="5">
        <v>115659405698</v>
      </c>
      <c r="F244" s="6">
        <f t="shared" si="3"/>
        <v>3.150997786480084</v>
      </c>
      <c r="G244" s="14">
        <v>14269</v>
      </c>
      <c r="H244" s="4">
        <f>G244*25540860</f>
        <v>364442531340</v>
      </c>
      <c r="I244" s="4">
        <f>G244*8105642</f>
        <v>115659405698</v>
      </c>
    </row>
    <row r="245" spans="1:9" x14ac:dyDescent="0.35">
      <c r="A245" s="10"/>
      <c r="B245" s="15"/>
      <c r="C245" s="2">
        <v>2022</v>
      </c>
      <c r="D245" s="5">
        <v>130490218100</v>
      </c>
      <c r="E245" s="5">
        <v>404504951894</v>
      </c>
      <c r="F245" s="6">
        <f t="shared" si="3"/>
        <v>0.32259238728477863</v>
      </c>
      <c r="G245" s="14">
        <v>15731</v>
      </c>
      <c r="H245" s="4">
        <f>G245*8295100</f>
        <v>130490218100</v>
      </c>
      <c r="I245" s="4">
        <f>G245*25713874</f>
        <v>404504951894</v>
      </c>
    </row>
    <row r="246" spans="1:9" x14ac:dyDescent="0.35">
      <c r="A246" s="10"/>
      <c r="B246" s="15"/>
      <c r="C246" s="2">
        <v>2023</v>
      </c>
      <c r="D246" s="5">
        <v>77427461224</v>
      </c>
      <c r="E246" s="5">
        <v>458838062496</v>
      </c>
      <c r="F246" s="6">
        <f t="shared" si="3"/>
        <v>0.16874681407816944</v>
      </c>
      <c r="G246" s="14">
        <v>15416</v>
      </c>
      <c r="H246" s="4">
        <f>G246*5022539</f>
        <v>77427461224</v>
      </c>
      <c r="I246" s="4">
        <f>G246*29763756</f>
        <v>458838062496</v>
      </c>
    </row>
  </sheetData>
  <mergeCells count="85">
    <mergeCell ref="A2:A6"/>
    <mergeCell ref="B2:B6"/>
    <mergeCell ref="A7:A11"/>
    <mergeCell ref="B7:B11"/>
    <mergeCell ref="A12:A16"/>
    <mergeCell ref="B12:B16"/>
    <mergeCell ref="A17:A21"/>
    <mergeCell ref="B17:B21"/>
    <mergeCell ref="A22:A26"/>
    <mergeCell ref="B22:B26"/>
    <mergeCell ref="A27:A31"/>
    <mergeCell ref="B27:B31"/>
    <mergeCell ref="A32:A36"/>
    <mergeCell ref="B32:B36"/>
    <mergeCell ref="A37:A41"/>
    <mergeCell ref="B37:B41"/>
    <mergeCell ref="A42:A46"/>
    <mergeCell ref="B42:B46"/>
    <mergeCell ref="A47:A51"/>
    <mergeCell ref="B47:B51"/>
    <mergeCell ref="A52:A56"/>
    <mergeCell ref="B52:B56"/>
    <mergeCell ref="A57:A61"/>
    <mergeCell ref="B57:B61"/>
    <mergeCell ref="A62:A66"/>
    <mergeCell ref="B62:B66"/>
    <mergeCell ref="A67:A71"/>
    <mergeCell ref="B67:B71"/>
    <mergeCell ref="A72:A76"/>
    <mergeCell ref="B72:B76"/>
    <mergeCell ref="A77:A81"/>
    <mergeCell ref="B77:B81"/>
    <mergeCell ref="A82:A86"/>
    <mergeCell ref="B82:B86"/>
    <mergeCell ref="A87:A91"/>
    <mergeCell ref="B87:B91"/>
    <mergeCell ref="A92:A96"/>
    <mergeCell ref="B92:B96"/>
    <mergeCell ref="A97:A101"/>
    <mergeCell ref="B97:B101"/>
    <mergeCell ref="A102:A106"/>
    <mergeCell ref="B102:B106"/>
    <mergeCell ref="A107:A111"/>
    <mergeCell ref="B107:B111"/>
    <mergeCell ref="A112:A116"/>
    <mergeCell ref="B112:B116"/>
    <mergeCell ref="A117:A121"/>
    <mergeCell ref="B117:B121"/>
    <mergeCell ref="A122:A126"/>
    <mergeCell ref="B122:B126"/>
    <mergeCell ref="A127:A131"/>
    <mergeCell ref="B127:B131"/>
    <mergeCell ref="A132:A136"/>
    <mergeCell ref="B132:B136"/>
    <mergeCell ref="A137:A141"/>
    <mergeCell ref="B137:B141"/>
    <mergeCell ref="A142:A146"/>
    <mergeCell ref="B142:B146"/>
    <mergeCell ref="A147:A151"/>
    <mergeCell ref="B147:B151"/>
    <mergeCell ref="A152:A156"/>
    <mergeCell ref="B152:B156"/>
    <mergeCell ref="A157:A161"/>
    <mergeCell ref="B157:B161"/>
    <mergeCell ref="A162:A166"/>
    <mergeCell ref="B162:B166"/>
    <mergeCell ref="B207:B211"/>
    <mergeCell ref="A167:A171"/>
    <mergeCell ref="B167:B171"/>
    <mergeCell ref="A172:A176"/>
    <mergeCell ref="B172:B176"/>
    <mergeCell ref="A177:A181"/>
    <mergeCell ref="B177:B181"/>
    <mergeCell ref="B182:B186"/>
    <mergeCell ref="B187:B191"/>
    <mergeCell ref="B192:B196"/>
    <mergeCell ref="B197:B201"/>
    <mergeCell ref="B202:B206"/>
    <mergeCell ref="B242:B246"/>
    <mergeCell ref="B212:B216"/>
    <mergeCell ref="B217:B221"/>
    <mergeCell ref="B222:B226"/>
    <mergeCell ref="B227:B231"/>
    <mergeCell ref="B232:B236"/>
    <mergeCell ref="B237:B2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C826D-14D2-4A4C-AF7F-2FB82F2C8353}">
  <dimension ref="A1:CO146"/>
  <sheetViews>
    <sheetView tabSelected="1" zoomScale="70" zoomScaleNormal="70" workbookViewId="0">
      <selection activeCell="A9" sqref="A9"/>
    </sheetView>
  </sheetViews>
  <sheetFormatPr defaultRowHeight="14.5" x14ac:dyDescent="0.35"/>
  <cols>
    <col min="1" max="1" width="4.54296875" customWidth="1"/>
    <col min="2" max="2" width="6.1796875" customWidth="1"/>
    <col min="3" max="3" width="54.81640625" customWidth="1"/>
    <col min="4" max="8" width="6.26953125" customWidth="1"/>
    <col min="9" max="28" width="6.1796875" customWidth="1"/>
    <col min="29" max="68" width="6.26953125" customWidth="1"/>
    <col min="69" max="93" width="6.1796875" customWidth="1"/>
  </cols>
  <sheetData>
    <row r="1" spans="1:93" x14ac:dyDescent="0.35">
      <c r="A1" s="16" t="s">
        <v>60</v>
      </c>
      <c r="B1" s="16"/>
    </row>
    <row r="3" spans="1:93" s="18" customFormat="1" ht="16.5" customHeight="1" x14ac:dyDescent="0.35">
      <c r="A3" s="17" t="s">
        <v>56</v>
      </c>
      <c r="B3" s="17" t="s">
        <v>61</v>
      </c>
      <c r="C3" s="17" t="s">
        <v>62</v>
      </c>
      <c r="D3" s="17" t="s">
        <v>63</v>
      </c>
      <c r="E3" s="17"/>
      <c r="F3" s="17"/>
      <c r="G3" s="17"/>
      <c r="H3" s="17"/>
      <c r="I3" s="17" t="s">
        <v>64</v>
      </c>
      <c r="J3" s="17"/>
      <c r="K3" s="17"/>
      <c r="L3" s="17"/>
      <c r="M3" s="17"/>
      <c r="N3" s="17" t="s">
        <v>65</v>
      </c>
      <c r="O3" s="17"/>
      <c r="P3" s="17"/>
      <c r="Q3" s="17"/>
      <c r="R3" s="17"/>
      <c r="S3" s="17" t="s">
        <v>66</v>
      </c>
      <c r="T3" s="17"/>
      <c r="U3" s="17"/>
      <c r="V3" s="17"/>
      <c r="W3" s="17"/>
      <c r="X3" s="17" t="s">
        <v>67</v>
      </c>
      <c r="Y3" s="17"/>
      <c r="Z3" s="17"/>
      <c r="AA3" s="17"/>
      <c r="AB3" s="17"/>
      <c r="AC3" s="17" t="s">
        <v>68</v>
      </c>
      <c r="AD3" s="17"/>
      <c r="AE3" s="17"/>
      <c r="AF3" s="17"/>
      <c r="AG3" s="17"/>
      <c r="AH3" s="17" t="s">
        <v>69</v>
      </c>
      <c r="AI3" s="17"/>
      <c r="AJ3" s="17"/>
      <c r="AK3" s="17"/>
      <c r="AL3" s="17"/>
      <c r="AM3" s="17" t="s">
        <v>70</v>
      </c>
      <c r="AN3" s="17"/>
      <c r="AO3" s="17"/>
      <c r="AP3" s="17"/>
      <c r="AQ3" s="17"/>
      <c r="AR3" s="17" t="s">
        <v>71</v>
      </c>
      <c r="AS3" s="17"/>
      <c r="AT3" s="17"/>
      <c r="AU3" s="17"/>
      <c r="AV3" s="17"/>
      <c r="AW3" s="17" t="s">
        <v>72</v>
      </c>
      <c r="AX3" s="17"/>
      <c r="AY3" s="17"/>
      <c r="AZ3" s="17"/>
      <c r="BA3" s="17"/>
      <c r="BB3" s="17" t="s">
        <v>73</v>
      </c>
      <c r="BC3" s="17"/>
      <c r="BD3" s="17"/>
      <c r="BE3" s="17"/>
      <c r="BF3" s="17"/>
      <c r="BG3" s="17" t="s">
        <v>74</v>
      </c>
      <c r="BH3" s="17"/>
      <c r="BI3" s="17"/>
      <c r="BJ3" s="17"/>
      <c r="BK3" s="17"/>
      <c r="BL3" s="17" t="s">
        <v>75</v>
      </c>
      <c r="BM3" s="17"/>
      <c r="BN3" s="17"/>
      <c r="BO3" s="17"/>
      <c r="BP3" s="17"/>
      <c r="BQ3" s="17" t="s">
        <v>76</v>
      </c>
      <c r="BR3" s="17"/>
      <c r="BS3" s="17"/>
      <c r="BT3" s="17"/>
      <c r="BU3" s="17"/>
      <c r="BV3" s="17" t="s">
        <v>77</v>
      </c>
      <c r="BW3" s="17"/>
      <c r="BX3" s="17"/>
      <c r="BY3" s="17"/>
      <c r="BZ3" s="17"/>
      <c r="CA3" s="17" t="s">
        <v>78</v>
      </c>
      <c r="CB3" s="17"/>
      <c r="CC3" s="17"/>
      <c r="CD3" s="17"/>
      <c r="CE3" s="17"/>
      <c r="CF3" s="17" t="s">
        <v>79</v>
      </c>
      <c r="CG3" s="17"/>
      <c r="CH3" s="17"/>
      <c r="CI3" s="17"/>
      <c r="CJ3" s="17"/>
      <c r="CK3" s="17" t="s">
        <v>80</v>
      </c>
      <c r="CL3" s="17"/>
      <c r="CM3" s="17"/>
      <c r="CN3" s="17"/>
      <c r="CO3" s="17"/>
    </row>
    <row r="4" spans="1:93" s="18" customFormat="1" ht="16.5" customHeight="1" x14ac:dyDescent="0.35">
      <c r="A4" s="17"/>
      <c r="B4" s="17"/>
      <c r="C4" s="17"/>
      <c r="D4" s="18">
        <v>2019</v>
      </c>
      <c r="E4" s="18">
        <v>2020</v>
      </c>
      <c r="F4" s="18">
        <v>2021</v>
      </c>
      <c r="G4" s="18">
        <v>2022</v>
      </c>
      <c r="H4" s="18">
        <v>2023</v>
      </c>
      <c r="I4" s="18">
        <v>2019</v>
      </c>
      <c r="J4" s="18">
        <v>2020</v>
      </c>
      <c r="K4" s="18">
        <v>2021</v>
      </c>
      <c r="L4" s="18">
        <v>2022</v>
      </c>
      <c r="M4" s="18">
        <v>2023</v>
      </c>
      <c r="N4" s="18">
        <v>2019</v>
      </c>
      <c r="O4" s="18">
        <v>2020</v>
      </c>
      <c r="P4" s="18">
        <v>2021</v>
      </c>
      <c r="Q4" s="18">
        <v>2022</v>
      </c>
      <c r="R4" s="18">
        <v>2023</v>
      </c>
      <c r="S4" s="18">
        <v>2019</v>
      </c>
      <c r="T4" s="18">
        <v>2020</v>
      </c>
      <c r="U4" s="18">
        <v>2021</v>
      </c>
      <c r="V4" s="18">
        <v>2022</v>
      </c>
      <c r="W4" s="18">
        <v>2023</v>
      </c>
      <c r="X4" s="18">
        <v>2019</v>
      </c>
      <c r="Y4" s="18">
        <v>2020</v>
      </c>
      <c r="Z4" s="18">
        <v>2021</v>
      </c>
      <c r="AA4" s="18">
        <v>2022</v>
      </c>
      <c r="AB4" s="18">
        <v>2023</v>
      </c>
      <c r="AC4" s="18">
        <v>2019</v>
      </c>
      <c r="AD4" s="18">
        <v>2020</v>
      </c>
      <c r="AE4" s="18">
        <v>2021</v>
      </c>
      <c r="AF4" s="18">
        <v>2022</v>
      </c>
      <c r="AG4" s="18">
        <v>2023</v>
      </c>
      <c r="AH4" s="18">
        <v>2019</v>
      </c>
      <c r="AI4" s="18">
        <v>2020</v>
      </c>
      <c r="AJ4" s="18">
        <v>2021</v>
      </c>
      <c r="AK4" s="18">
        <v>2022</v>
      </c>
      <c r="AL4" s="18">
        <v>2023</v>
      </c>
      <c r="AM4" s="18">
        <v>2019</v>
      </c>
      <c r="AN4" s="18">
        <v>2020</v>
      </c>
      <c r="AO4" s="18">
        <v>2021</v>
      </c>
      <c r="AP4" s="18">
        <v>2022</v>
      </c>
      <c r="AQ4" s="18">
        <v>2023</v>
      </c>
      <c r="AR4" s="18">
        <v>2019</v>
      </c>
      <c r="AS4" s="18">
        <v>2020</v>
      </c>
      <c r="AT4" s="18">
        <v>2021</v>
      </c>
      <c r="AU4" s="18">
        <v>2022</v>
      </c>
      <c r="AV4" s="18">
        <v>2023</v>
      </c>
      <c r="AW4" s="18">
        <v>2019</v>
      </c>
      <c r="AX4" s="18">
        <v>2020</v>
      </c>
      <c r="AY4" s="18">
        <v>2021</v>
      </c>
      <c r="AZ4" s="18">
        <v>2022</v>
      </c>
      <c r="BA4" s="18">
        <v>2023</v>
      </c>
      <c r="BB4" s="18">
        <v>2019</v>
      </c>
      <c r="BC4" s="18">
        <v>2020</v>
      </c>
      <c r="BD4" s="18">
        <v>2021</v>
      </c>
      <c r="BE4" s="18">
        <v>2022</v>
      </c>
      <c r="BF4" s="18">
        <v>2023</v>
      </c>
      <c r="BG4" s="18">
        <v>2019</v>
      </c>
      <c r="BH4" s="18">
        <v>2020</v>
      </c>
      <c r="BI4" s="18">
        <v>2021</v>
      </c>
      <c r="BJ4" s="18">
        <v>2022</v>
      </c>
      <c r="BK4" s="18">
        <v>2023</v>
      </c>
      <c r="BL4" s="18">
        <v>2019</v>
      </c>
      <c r="BM4" s="18">
        <v>2020</v>
      </c>
      <c r="BN4" s="18">
        <v>2021</v>
      </c>
      <c r="BO4" s="18">
        <v>2022</v>
      </c>
      <c r="BP4" s="18">
        <v>2023</v>
      </c>
      <c r="BQ4" s="18">
        <v>2019</v>
      </c>
      <c r="BR4" s="18">
        <v>2020</v>
      </c>
      <c r="BS4" s="18">
        <v>2021</v>
      </c>
      <c r="BT4" s="18">
        <v>2022</v>
      </c>
      <c r="BU4" s="18">
        <v>2023</v>
      </c>
      <c r="BV4" s="18">
        <v>2019</v>
      </c>
      <c r="BW4" s="18">
        <v>2020</v>
      </c>
      <c r="BX4" s="18">
        <v>2021</v>
      </c>
      <c r="BY4" s="18">
        <v>2022</v>
      </c>
      <c r="BZ4" s="18">
        <v>2023</v>
      </c>
      <c r="CA4" s="18">
        <v>2019</v>
      </c>
      <c r="CB4" s="18">
        <v>2020</v>
      </c>
      <c r="CC4" s="18">
        <v>2021</v>
      </c>
      <c r="CD4" s="18">
        <v>2022</v>
      </c>
      <c r="CE4" s="18">
        <v>2023</v>
      </c>
      <c r="CF4" s="18">
        <v>2019</v>
      </c>
      <c r="CG4" s="18">
        <v>2020</v>
      </c>
      <c r="CH4" s="18">
        <v>2021</v>
      </c>
      <c r="CI4" s="18">
        <v>2022</v>
      </c>
      <c r="CJ4" s="18">
        <v>2023</v>
      </c>
      <c r="CK4" s="18">
        <v>2019</v>
      </c>
      <c r="CL4" s="18">
        <v>2020</v>
      </c>
      <c r="CM4" s="18">
        <v>2021</v>
      </c>
      <c r="CN4" s="18">
        <v>2022</v>
      </c>
      <c r="CO4" s="18">
        <v>2023</v>
      </c>
    </row>
    <row r="5" spans="1:93" ht="18" customHeight="1" x14ac:dyDescent="0.35">
      <c r="A5" s="19" t="s">
        <v>81</v>
      </c>
      <c r="B5" s="19"/>
      <c r="C5" s="19"/>
    </row>
    <row r="6" spans="1:93" x14ac:dyDescent="0.35">
      <c r="A6" s="19" t="s">
        <v>82</v>
      </c>
      <c r="B6" s="19"/>
      <c r="C6" s="19"/>
    </row>
    <row r="7" spans="1:93" x14ac:dyDescent="0.35">
      <c r="A7">
        <v>1</v>
      </c>
      <c r="B7" s="20" t="s">
        <v>83</v>
      </c>
      <c r="C7" t="s">
        <v>84</v>
      </c>
      <c r="D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1</v>
      </c>
      <c r="CA7">
        <v>1</v>
      </c>
      <c r="CB7">
        <v>1</v>
      </c>
      <c r="CC7">
        <v>1</v>
      </c>
      <c r="CD7">
        <v>1</v>
      </c>
      <c r="CE7">
        <v>1</v>
      </c>
      <c r="CF7">
        <v>1</v>
      </c>
      <c r="CG7">
        <v>1</v>
      </c>
      <c r="CH7">
        <v>1</v>
      </c>
      <c r="CI7">
        <v>1</v>
      </c>
      <c r="CJ7">
        <v>1</v>
      </c>
      <c r="CK7">
        <v>1</v>
      </c>
      <c r="CL7">
        <v>1</v>
      </c>
      <c r="CM7">
        <v>1</v>
      </c>
      <c r="CN7">
        <v>1</v>
      </c>
      <c r="CO7">
        <v>1</v>
      </c>
    </row>
    <row r="8" spans="1:93" x14ac:dyDescent="0.35">
      <c r="A8">
        <v>2</v>
      </c>
      <c r="B8" t="s">
        <v>85</v>
      </c>
      <c r="C8" t="s">
        <v>86</v>
      </c>
      <c r="D8">
        <v>1</v>
      </c>
      <c r="E8">
        <v>1</v>
      </c>
      <c r="F8">
        <v>1</v>
      </c>
      <c r="G8">
        <v>1</v>
      </c>
      <c r="H8">
        <v>1</v>
      </c>
      <c r="I8">
        <v>0</v>
      </c>
      <c r="J8">
        <v>0</v>
      </c>
      <c r="K8">
        <v>0</v>
      </c>
      <c r="L8">
        <v>1</v>
      </c>
      <c r="M8">
        <v>1</v>
      </c>
      <c r="N8">
        <v>0</v>
      </c>
      <c r="O8">
        <v>0</v>
      </c>
      <c r="P8">
        <v>1</v>
      </c>
      <c r="Q8">
        <v>1</v>
      </c>
      <c r="R8">
        <v>1</v>
      </c>
      <c r="S8">
        <v>0</v>
      </c>
      <c r="T8">
        <v>0</v>
      </c>
      <c r="U8">
        <v>0</v>
      </c>
      <c r="V8">
        <v>1</v>
      </c>
      <c r="W8">
        <v>1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0</v>
      </c>
      <c r="AN8">
        <v>0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1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1</v>
      </c>
      <c r="BM8">
        <v>1</v>
      </c>
      <c r="BN8">
        <v>0</v>
      </c>
      <c r="BO8">
        <v>0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1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</row>
    <row r="9" spans="1:93" x14ac:dyDescent="0.35">
      <c r="A9">
        <v>3</v>
      </c>
      <c r="B9" t="s">
        <v>87</v>
      </c>
      <c r="C9" t="s">
        <v>88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  <c r="AD9">
        <v>1</v>
      </c>
      <c r="AE9">
        <v>1</v>
      </c>
      <c r="AF9">
        <v>1</v>
      </c>
      <c r="AG9">
        <v>1</v>
      </c>
      <c r="AH9">
        <v>0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0</v>
      </c>
      <c r="AS9">
        <v>0</v>
      </c>
      <c r="AT9">
        <v>1</v>
      </c>
      <c r="AU9">
        <v>1</v>
      </c>
      <c r="AV9">
        <v>1</v>
      </c>
      <c r="AW9">
        <v>1</v>
      </c>
      <c r="AX9">
        <v>1</v>
      </c>
      <c r="AY9">
        <v>1</v>
      </c>
      <c r="AZ9">
        <v>1</v>
      </c>
      <c r="BA9">
        <v>1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1</v>
      </c>
      <c r="BR9">
        <v>1</v>
      </c>
      <c r="BS9">
        <v>0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1</v>
      </c>
      <c r="CE9">
        <v>1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</row>
    <row r="10" spans="1:93" x14ac:dyDescent="0.35">
      <c r="A10">
        <v>4</v>
      </c>
      <c r="B10" t="s">
        <v>89</v>
      </c>
      <c r="C10" t="s">
        <v>90</v>
      </c>
      <c r="D10">
        <v>1</v>
      </c>
      <c r="E10">
        <v>1</v>
      </c>
      <c r="F10">
        <v>1</v>
      </c>
      <c r="G10">
        <v>1</v>
      </c>
      <c r="H10">
        <v>1</v>
      </c>
      <c r="I10">
        <v>0</v>
      </c>
      <c r="J10">
        <v>0</v>
      </c>
      <c r="K10">
        <v>0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1</v>
      </c>
      <c r="T10">
        <v>1</v>
      </c>
      <c r="U10">
        <v>1</v>
      </c>
      <c r="V10">
        <v>1</v>
      </c>
      <c r="W10">
        <v>1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1</v>
      </c>
      <c r="AE10">
        <v>1</v>
      </c>
      <c r="AF10">
        <v>1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0</v>
      </c>
      <c r="AS10">
        <v>0</v>
      </c>
      <c r="AT10">
        <v>1</v>
      </c>
      <c r="AU10">
        <v>1</v>
      </c>
      <c r="AV10">
        <v>1</v>
      </c>
      <c r="AW10">
        <v>1</v>
      </c>
      <c r="AY10">
        <v>1</v>
      </c>
      <c r="AZ10">
        <v>1</v>
      </c>
      <c r="BA10">
        <v>1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1</v>
      </c>
      <c r="BR10">
        <v>1</v>
      </c>
      <c r="BS10">
        <v>1</v>
      </c>
      <c r="BT10">
        <v>1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</row>
    <row r="11" spans="1:93" x14ac:dyDescent="0.35">
      <c r="A11" s="19" t="s">
        <v>91</v>
      </c>
      <c r="B11" s="19"/>
      <c r="C11" s="19"/>
    </row>
    <row r="12" spans="1:93" ht="17" customHeight="1" x14ac:dyDescent="0.35">
      <c r="A12">
        <v>5</v>
      </c>
      <c r="B12" t="s">
        <v>92</v>
      </c>
      <c r="C12" t="s">
        <v>93</v>
      </c>
      <c r="D12">
        <v>0</v>
      </c>
      <c r="E12">
        <v>0</v>
      </c>
      <c r="F12">
        <v>0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0</v>
      </c>
      <c r="O12">
        <v>0</v>
      </c>
      <c r="P12">
        <v>0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>
        <v>1</v>
      </c>
      <c r="AO12">
        <v>1</v>
      </c>
      <c r="AP12">
        <v>1</v>
      </c>
      <c r="AQ12">
        <v>1</v>
      </c>
      <c r="AR12">
        <v>0</v>
      </c>
      <c r="AS12">
        <v>0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1</v>
      </c>
      <c r="BO12">
        <v>0</v>
      </c>
      <c r="BP12">
        <v>0</v>
      </c>
      <c r="BQ12">
        <v>1</v>
      </c>
      <c r="BR12">
        <v>1</v>
      </c>
      <c r="BS12">
        <v>1</v>
      </c>
      <c r="BT12">
        <v>1</v>
      </c>
      <c r="BU12">
        <v>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</row>
    <row r="13" spans="1:93" x14ac:dyDescent="0.35">
      <c r="A13">
        <v>6</v>
      </c>
      <c r="B13" t="s">
        <v>94</v>
      </c>
      <c r="C13" t="s">
        <v>95</v>
      </c>
      <c r="D13">
        <v>0</v>
      </c>
      <c r="E13">
        <v>0</v>
      </c>
      <c r="F13">
        <v>0</v>
      </c>
      <c r="G13">
        <v>1</v>
      </c>
      <c r="H13">
        <v>1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1</v>
      </c>
      <c r="R13">
        <v>1</v>
      </c>
      <c r="S13">
        <v>0</v>
      </c>
      <c r="T13">
        <v>0</v>
      </c>
      <c r="U13">
        <v>0</v>
      </c>
      <c r="V13">
        <v>1</v>
      </c>
      <c r="W13">
        <v>1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1</v>
      </c>
      <c r="AO13">
        <v>1</v>
      </c>
      <c r="AP13">
        <v>1</v>
      </c>
      <c r="AQ13">
        <v>1</v>
      </c>
      <c r="AR13">
        <v>0</v>
      </c>
      <c r="AS13">
        <v>0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R13">
        <v>0</v>
      </c>
      <c r="BS13">
        <v>0</v>
      </c>
      <c r="BT13">
        <v>0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</row>
    <row r="14" spans="1:93" x14ac:dyDescent="0.35">
      <c r="A14" s="19" t="s">
        <v>96</v>
      </c>
      <c r="B14" s="19"/>
      <c r="C14" s="19"/>
    </row>
    <row r="15" spans="1:93" x14ac:dyDescent="0.35">
      <c r="A15">
        <v>7</v>
      </c>
      <c r="B15" t="s">
        <v>97</v>
      </c>
      <c r="C15" t="s">
        <v>98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0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0</v>
      </c>
      <c r="AD15">
        <v>0</v>
      </c>
      <c r="AE15">
        <v>0</v>
      </c>
      <c r="AF15">
        <v>1</v>
      </c>
      <c r="AG15">
        <v>1</v>
      </c>
      <c r="AH15">
        <v>0</v>
      </c>
      <c r="AI15">
        <v>1</v>
      </c>
      <c r="AJ15">
        <v>1</v>
      </c>
      <c r="AK15">
        <v>1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1</v>
      </c>
      <c r="AR15">
        <v>0</v>
      </c>
      <c r="AS15">
        <v>0</v>
      </c>
      <c r="AT15">
        <v>1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1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</v>
      </c>
      <c r="BQ15">
        <v>1</v>
      </c>
      <c r="BR15">
        <v>1</v>
      </c>
      <c r="BS15">
        <v>1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</v>
      </c>
      <c r="CL15">
        <v>1</v>
      </c>
      <c r="CM15">
        <v>1</v>
      </c>
      <c r="CN15">
        <v>1</v>
      </c>
      <c r="CO15">
        <v>1</v>
      </c>
    </row>
    <row r="16" spans="1:93" x14ac:dyDescent="0.35">
      <c r="A16">
        <v>8</v>
      </c>
      <c r="B16" t="s">
        <v>99</v>
      </c>
      <c r="C16" t="s">
        <v>100</v>
      </c>
      <c r="D16">
        <v>1</v>
      </c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1</v>
      </c>
      <c r="BO16">
        <v>0</v>
      </c>
      <c r="BP16">
        <v>1</v>
      </c>
      <c r="BQ16">
        <v>1</v>
      </c>
      <c r="BR16">
        <v>1</v>
      </c>
      <c r="BS16">
        <v>1</v>
      </c>
      <c r="BT16">
        <v>1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</row>
    <row r="17" spans="1:93" x14ac:dyDescent="0.35">
      <c r="A17" s="19" t="s">
        <v>101</v>
      </c>
      <c r="B17" s="19"/>
      <c r="C17" s="19"/>
      <c r="AS17">
        <v>0</v>
      </c>
    </row>
    <row r="18" spans="1:93" x14ac:dyDescent="0.35">
      <c r="A18">
        <v>9</v>
      </c>
      <c r="B18" t="s">
        <v>102</v>
      </c>
      <c r="C18" t="s">
        <v>103</v>
      </c>
      <c r="D18">
        <v>1</v>
      </c>
      <c r="E18">
        <v>0</v>
      </c>
      <c r="F18">
        <v>1</v>
      </c>
      <c r="G18">
        <v>1</v>
      </c>
      <c r="H18">
        <v>1</v>
      </c>
      <c r="I18">
        <v>0</v>
      </c>
      <c r="J18">
        <v>0</v>
      </c>
      <c r="K18">
        <v>1</v>
      </c>
      <c r="L18">
        <v>0</v>
      </c>
      <c r="M18">
        <v>1</v>
      </c>
      <c r="N18">
        <v>0</v>
      </c>
      <c r="O18">
        <v>0</v>
      </c>
      <c r="P18">
        <v>0</v>
      </c>
      <c r="Q18">
        <v>1</v>
      </c>
      <c r="R18">
        <v>1</v>
      </c>
      <c r="S18">
        <v>0</v>
      </c>
      <c r="T18">
        <v>0</v>
      </c>
      <c r="U18">
        <v>1</v>
      </c>
      <c r="V18">
        <v>1</v>
      </c>
      <c r="W18">
        <v>1</v>
      </c>
      <c r="X18">
        <v>0</v>
      </c>
      <c r="Y18">
        <v>0</v>
      </c>
      <c r="Z18">
        <v>0</v>
      </c>
      <c r="AA18">
        <v>1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1</v>
      </c>
      <c r="AH18">
        <v>1</v>
      </c>
      <c r="AI18">
        <v>0</v>
      </c>
      <c r="AJ18">
        <v>1</v>
      </c>
      <c r="AK18">
        <v>0</v>
      </c>
      <c r="AL18">
        <v>1</v>
      </c>
      <c r="AM18">
        <v>1</v>
      </c>
      <c r="AN18">
        <v>1</v>
      </c>
      <c r="AO18">
        <v>0</v>
      </c>
      <c r="AP18">
        <v>1</v>
      </c>
      <c r="AQ18">
        <v>1</v>
      </c>
      <c r="AR18">
        <v>0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1</v>
      </c>
      <c r="BO18">
        <v>0</v>
      </c>
      <c r="BP18">
        <v>1</v>
      </c>
      <c r="BQ18">
        <v>1</v>
      </c>
      <c r="BR18">
        <v>1</v>
      </c>
      <c r="BS18">
        <v>0</v>
      </c>
      <c r="BT18">
        <v>1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</row>
    <row r="19" spans="1:93" x14ac:dyDescent="0.35">
      <c r="A19" s="21" t="s">
        <v>104</v>
      </c>
      <c r="B19" s="21"/>
      <c r="C19" s="21"/>
    </row>
    <row r="20" spans="1:93" x14ac:dyDescent="0.35">
      <c r="A20" s="19" t="s">
        <v>105</v>
      </c>
      <c r="B20" s="19"/>
      <c r="C20" s="19"/>
    </row>
    <row r="21" spans="1:93" x14ac:dyDescent="0.35">
      <c r="A21">
        <v>10</v>
      </c>
      <c r="B21" t="s">
        <v>106</v>
      </c>
      <c r="C21" t="s">
        <v>107</v>
      </c>
      <c r="D21">
        <v>1</v>
      </c>
      <c r="E21">
        <v>0</v>
      </c>
      <c r="F21">
        <v>1</v>
      </c>
      <c r="G21">
        <v>1</v>
      </c>
      <c r="H21">
        <v>0</v>
      </c>
      <c r="I21">
        <v>1</v>
      </c>
      <c r="J21">
        <v>1</v>
      </c>
      <c r="K21">
        <v>1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1</v>
      </c>
      <c r="AH21">
        <v>1</v>
      </c>
      <c r="AI21">
        <v>1</v>
      </c>
      <c r="AJ21">
        <v>1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1</v>
      </c>
      <c r="AS21">
        <v>1</v>
      </c>
      <c r="AT21">
        <v>1</v>
      </c>
      <c r="AU21">
        <v>0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0</v>
      </c>
      <c r="BB21">
        <v>0</v>
      </c>
      <c r="BC21">
        <v>1</v>
      </c>
      <c r="BD21">
        <v>1</v>
      </c>
      <c r="BE21">
        <v>1</v>
      </c>
      <c r="BF21">
        <v>1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1</v>
      </c>
      <c r="BN21">
        <v>0</v>
      </c>
      <c r="BO21">
        <v>0</v>
      </c>
      <c r="BP21">
        <v>0</v>
      </c>
      <c r="BQ21">
        <v>1</v>
      </c>
      <c r="BR21">
        <v>1</v>
      </c>
      <c r="BS21">
        <v>1</v>
      </c>
      <c r="BT21">
        <v>1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1</v>
      </c>
      <c r="CL21">
        <v>1</v>
      </c>
      <c r="CM21">
        <v>1</v>
      </c>
      <c r="CN21">
        <v>1</v>
      </c>
      <c r="CO21">
        <v>1</v>
      </c>
    </row>
    <row r="22" spans="1:93" x14ac:dyDescent="0.35">
      <c r="A22">
        <v>11</v>
      </c>
      <c r="B22" t="s">
        <v>108</v>
      </c>
      <c r="C22" t="s">
        <v>109</v>
      </c>
      <c r="D22">
        <v>1</v>
      </c>
      <c r="E22">
        <v>0</v>
      </c>
      <c r="F22">
        <v>0</v>
      </c>
      <c r="G22">
        <v>1</v>
      </c>
      <c r="H22">
        <v>0</v>
      </c>
      <c r="I22">
        <v>1</v>
      </c>
      <c r="J22">
        <v>1</v>
      </c>
      <c r="K22">
        <v>1</v>
      </c>
      <c r="L22">
        <v>1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1</v>
      </c>
      <c r="AH22">
        <v>1</v>
      </c>
      <c r="AI22">
        <v>1</v>
      </c>
      <c r="AJ22">
        <v>1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</v>
      </c>
      <c r="AS22">
        <v>1</v>
      </c>
      <c r="AT22">
        <v>1</v>
      </c>
      <c r="AU22">
        <v>0</v>
      </c>
      <c r="AV22">
        <v>1</v>
      </c>
      <c r="AW22">
        <v>1</v>
      </c>
      <c r="AX22">
        <v>1</v>
      </c>
      <c r="AY22">
        <v>1</v>
      </c>
      <c r="AZ22">
        <v>1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1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</row>
    <row r="23" spans="1:93" x14ac:dyDescent="0.35">
      <c r="A23" s="19" t="s">
        <v>110</v>
      </c>
      <c r="B23" s="19"/>
      <c r="C23" s="19"/>
    </row>
    <row r="24" spans="1:93" x14ac:dyDescent="0.35">
      <c r="A24">
        <v>12</v>
      </c>
      <c r="B24" t="s">
        <v>111</v>
      </c>
      <c r="C24" t="s">
        <v>112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0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0</v>
      </c>
      <c r="BC24">
        <v>1</v>
      </c>
      <c r="BD24">
        <v>1</v>
      </c>
      <c r="BE24">
        <v>1</v>
      </c>
      <c r="BF24">
        <v>1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1</v>
      </c>
      <c r="BO24">
        <v>1</v>
      </c>
      <c r="BP24">
        <v>1</v>
      </c>
      <c r="BQ24">
        <v>1</v>
      </c>
      <c r="BR24">
        <v>1</v>
      </c>
      <c r="BS24">
        <v>1</v>
      </c>
      <c r="BT24">
        <v>1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1</v>
      </c>
      <c r="CB24">
        <v>1</v>
      </c>
      <c r="CC24">
        <v>1</v>
      </c>
      <c r="CD24">
        <v>1</v>
      </c>
      <c r="CE24">
        <v>1</v>
      </c>
      <c r="CF24">
        <v>1</v>
      </c>
      <c r="CG24">
        <v>1</v>
      </c>
      <c r="CH24">
        <v>1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1</v>
      </c>
      <c r="CO24">
        <v>1</v>
      </c>
    </row>
    <row r="25" spans="1:93" x14ac:dyDescent="0.35">
      <c r="A25">
        <v>13</v>
      </c>
      <c r="B25" t="s">
        <v>113</v>
      </c>
      <c r="C25" t="s">
        <v>114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>
        <v>0</v>
      </c>
      <c r="N25">
        <v>0</v>
      </c>
      <c r="O25">
        <v>0</v>
      </c>
      <c r="P25">
        <v>1</v>
      </c>
      <c r="Q25">
        <v>1</v>
      </c>
      <c r="R25">
        <v>1</v>
      </c>
      <c r="S25">
        <v>0</v>
      </c>
      <c r="T25">
        <v>0</v>
      </c>
      <c r="U25">
        <v>0</v>
      </c>
      <c r="V25">
        <v>1</v>
      </c>
      <c r="W25">
        <v>1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0</v>
      </c>
      <c r="AJ25">
        <v>0</v>
      </c>
      <c r="AK25">
        <v>1</v>
      </c>
      <c r="AL25">
        <v>1</v>
      </c>
      <c r="AM25">
        <v>0</v>
      </c>
      <c r="AN25">
        <v>0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1</v>
      </c>
      <c r="AV25">
        <v>1</v>
      </c>
      <c r="AW25">
        <v>1</v>
      </c>
      <c r="AX25">
        <v>1</v>
      </c>
      <c r="AY25">
        <v>1</v>
      </c>
      <c r="AZ25">
        <v>1</v>
      </c>
      <c r="BA25">
        <v>1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1</v>
      </c>
      <c r="CE25">
        <v>1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</row>
    <row r="26" spans="1:93" x14ac:dyDescent="0.35">
      <c r="A26">
        <v>14</v>
      </c>
      <c r="B26" t="s">
        <v>115</v>
      </c>
      <c r="C26" t="s">
        <v>116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0</v>
      </c>
      <c r="L26">
        <v>1</v>
      </c>
      <c r="M26">
        <v>1</v>
      </c>
      <c r="N26">
        <v>0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0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1</v>
      </c>
      <c r="BV26">
        <v>1</v>
      </c>
      <c r="BW26">
        <v>1</v>
      </c>
      <c r="BX26">
        <v>1</v>
      </c>
      <c r="BY26">
        <v>1</v>
      </c>
      <c r="BZ26">
        <v>1</v>
      </c>
      <c r="CA26">
        <v>1</v>
      </c>
      <c r="CB26">
        <v>1</v>
      </c>
      <c r="CC26">
        <v>1</v>
      </c>
      <c r="CD26">
        <v>1</v>
      </c>
      <c r="CE26">
        <v>1</v>
      </c>
      <c r="CF26">
        <v>1</v>
      </c>
      <c r="CG26">
        <v>1</v>
      </c>
      <c r="CH26">
        <v>1</v>
      </c>
      <c r="CI26">
        <v>1</v>
      </c>
      <c r="CJ26">
        <v>1</v>
      </c>
      <c r="CK26">
        <v>0</v>
      </c>
      <c r="CL26">
        <v>0</v>
      </c>
      <c r="CM26">
        <v>0</v>
      </c>
      <c r="CN26">
        <v>0</v>
      </c>
      <c r="CO26">
        <v>0</v>
      </c>
    </row>
    <row r="27" spans="1:93" x14ac:dyDescent="0.35">
      <c r="A27">
        <v>15</v>
      </c>
      <c r="B27" t="s">
        <v>117</v>
      </c>
      <c r="C27" t="s">
        <v>118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0</v>
      </c>
      <c r="M27">
        <v>0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0</v>
      </c>
      <c r="W27">
        <v>0</v>
      </c>
      <c r="X27">
        <v>0</v>
      </c>
      <c r="Y27">
        <v>0</v>
      </c>
      <c r="Z27">
        <v>0</v>
      </c>
      <c r="AA27">
        <v>1</v>
      </c>
      <c r="AB27">
        <v>1</v>
      </c>
      <c r="AC27">
        <v>0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1</v>
      </c>
      <c r="AX27">
        <v>1</v>
      </c>
      <c r="AY27">
        <v>1</v>
      </c>
      <c r="AZ27">
        <v>1</v>
      </c>
      <c r="BA27">
        <v>1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1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1</v>
      </c>
      <c r="CE27">
        <v>1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</row>
    <row r="28" spans="1:93" x14ac:dyDescent="0.35">
      <c r="A28">
        <v>16</v>
      </c>
      <c r="B28" t="s">
        <v>119</v>
      </c>
      <c r="C28" t="s">
        <v>120</v>
      </c>
      <c r="D28">
        <v>1</v>
      </c>
      <c r="E28">
        <v>1</v>
      </c>
      <c r="F28">
        <v>1</v>
      </c>
      <c r="G28">
        <v>1</v>
      </c>
      <c r="H28">
        <v>1</v>
      </c>
      <c r="I28">
        <v>0</v>
      </c>
      <c r="J28">
        <v>0</v>
      </c>
      <c r="K28">
        <v>1</v>
      </c>
      <c r="L28">
        <v>0</v>
      </c>
      <c r="M28">
        <v>1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1</v>
      </c>
      <c r="AB28">
        <v>1</v>
      </c>
      <c r="AC28">
        <v>0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0</v>
      </c>
      <c r="AJ28">
        <v>0</v>
      </c>
      <c r="AK28">
        <v>0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1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1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1</v>
      </c>
      <c r="BR28">
        <v>1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1</v>
      </c>
      <c r="CE28">
        <v>1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</row>
    <row r="29" spans="1:93" x14ac:dyDescent="0.35">
      <c r="A29" s="21" t="s">
        <v>121</v>
      </c>
      <c r="B29" s="21"/>
      <c r="C29" s="21"/>
      <c r="AR29" t="s">
        <v>122</v>
      </c>
      <c r="AT29" t="s">
        <v>122</v>
      </c>
      <c r="AU29" t="s">
        <v>122</v>
      </c>
      <c r="AV29" t="s">
        <v>122</v>
      </c>
      <c r="BB29">
        <v>0</v>
      </c>
    </row>
    <row r="30" spans="1:93" x14ac:dyDescent="0.35">
      <c r="A30">
        <v>17</v>
      </c>
      <c r="B30" t="s">
        <v>123</v>
      </c>
      <c r="C30" t="s">
        <v>124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0</v>
      </c>
      <c r="O30">
        <v>0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0</v>
      </c>
      <c r="Y30">
        <v>0</v>
      </c>
      <c r="Z30">
        <v>0</v>
      </c>
      <c r="AA30">
        <v>1</v>
      </c>
      <c r="AB30">
        <v>1</v>
      </c>
      <c r="AC30">
        <v>0</v>
      </c>
      <c r="AD30">
        <v>0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0</v>
      </c>
      <c r="AK30">
        <v>1</v>
      </c>
      <c r="AL30">
        <v>1</v>
      </c>
      <c r="AM30">
        <v>1</v>
      </c>
      <c r="AN30">
        <v>1</v>
      </c>
      <c r="AO30">
        <v>0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1</v>
      </c>
      <c r="BL30">
        <v>0</v>
      </c>
      <c r="BM30">
        <v>1</v>
      </c>
      <c r="BN30">
        <v>1</v>
      </c>
      <c r="BO30">
        <v>1</v>
      </c>
      <c r="BP30">
        <v>1</v>
      </c>
      <c r="BQ30">
        <v>0</v>
      </c>
      <c r="BR30">
        <v>0</v>
      </c>
      <c r="BS30">
        <v>1</v>
      </c>
      <c r="BT30">
        <v>1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1</v>
      </c>
      <c r="CL30">
        <v>1</v>
      </c>
      <c r="CM30">
        <v>1</v>
      </c>
      <c r="CN30">
        <v>1</v>
      </c>
      <c r="CO30">
        <v>1</v>
      </c>
    </row>
    <row r="31" spans="1:93" x14ac:dyDescent="0.35">
      <c r="A31">
        <v>18</v>
      </c>
      <c r="B31" t="s">
        <v>125</v>
      </c>
      <c r="C31" t="s">
        <v>126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0</v>
      </c>
      <c r="O31">
        <v>0</v>
      </c>
      <c r="P31">
        <v>1</v>
      </c>
      <c r="Q31">
        <v>1</v>
      </c>
      <c r="R31">
        <v>1</v>
      </c>
      <c r="S31">
        <v>0</v>
      </c>
      <c r="T31">
        <v>0</v>
      </c>
      <c r="U31">
        <v>0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0</v>
      </c>
      <c r="AD31">
        <v>0</v>
      </c>
      <c r="AE31">
        <v>1</v>
      </c>
      <c r="AF31">
        <v>1</v>
      </c>
      <c r="AG31">
        <v>1</v>
      </c>
      <c r="AH31">
        <v>0</v>
      </c>
      <c r="AI31">
        <v>1</v>
      </c>
      <c r="AJ31">
        <v>0</v>
      </c>
      <c r="AK31">
        <v>1</v>
      </c>
      <c r="AL31">
        <v>1</v>
      </c>
      <c r="AM31">
        <v>0</v>
      </c>
      <c r="AN31">
        <v>1</v>
      </c>
      <c r="AO31">
        <v>0</v>
      </c>
      <c r="AP31">
        <v>1</v>
      </c>
      <c r="AQ31">
        <v>1</v>
      </c>
      <c r="AR31">
        <v>0</v>
      </c>
      <c r="AS31">
        <v>0</v>
      </c>
      <c r="AT31">
        <v>1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0</v>
      </c>
      <c r="BR31">
        <v>0</v>
      </c>
      <c r="BS31">
        <v>0</v>
      </c>
      <c r="BT31">
        <v>1</v>
      </c>
      <c r="BU31">
        <v>1</v>
      </c>
      <c r="BV31">
        <v>1</v>
      </c>
      <c r="BW31">
        <v>1</v>
      </c>
      <c r="BX31">
        <v>1</v>
      </c>
      <c r="BY31">
        <v>1</v>
      </c>
      <c r="BZ31">
        <v>1</v>
      </c>
      <c r="CA31">
        <v>1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</row>
    <row r="32" spans="1:93" x14ac:dyDescent="0.35">
      <c r="A32">
        <v>19</v>
      </c>
      <c r="B32" t="s">
        <v>127</v>
      </c>
      <c r="C32" t="s">
        <v>128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0</v>
      </c>
      <c r="O32">
        <v>0</v>
      </c>
      <c r="P32">
        <v>1</v>
      </c>
      <c r="Q32">
        <v>1</v>
      </c>
      <c r="R32">
        <v>1</v>
      </c>
      <c r="S32">
        <v>0</v>
      </c>
      <c r="T32">
        <v>0</v>
      </c>
      <c r="U32">
        <v>1</v>
      </c>
      <c r="V32">
        <v>1</v>
      </c>
      <c r="W32">
        <v>1</v>
      </c>
      <c r="X32">
        <v>0</v>
      </c>
      <c r="Y32">
        <v>0</v>
      </c>
      <c r="Z32">
        <v>0</v>
      </c>
      <c r="AA32">
        <v>1</v>
      </c>
      <c r="AB32">
        <v>1</v>
      </c>
      <c r="AC32">
        <v>0</v>
      </c>
      <c r="AD32">
        <v>0</v>
      </c>
      <c r="AE32">
        <v>1</v>
      </c>
      <c r="AF32">
        <v>1</v>
      </c>
      <c r="AG32">
        <v>1</v>
      </c>
      <c r="AH32">
        <v>0</v>
      </c>
      <c r="AI32">
        <v>1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0</v>
      </c>
      <c r="AP32">
        <v>1</v>
      </c>
      <c r="AQ32">
        <v>1</v>
      </c>
      <c r="AR32">
        <v>0</v>
      </c>
      <c r="AS32">
        <v>0</v>
      </c>
      <c r="AT32">
        <v>1</v>
      </c>
      <c r="AU32">
        <v>1</v>
      </c>
      <c r="AV32">
        <v>1</v>
      </c>
      <c r="AW32">
        <v>1</v>
      </c>
      <c r="AX32">
        <v>1</v>
      </c>
      <c r="AY32">
        <v>1</v>
      </c>
      <c r="AZ32">
        <v>1</v>
      </c>
      <c r="BA32">
        <v>1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1</v>
      </c>
      <c r="BO32">
        <v>0</v>
      </c>
      <c r="BP32">
        <v>1</v>
      </c>
      <c r="BQ32">
        <v>0</v>
      </c>
      <c r="BR32">
        <v>0</v>
      </c>
      <c r="BS32">
        <v>0</v>
      </c>
      <c r="BT32">
        <v>1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</row>
    <row r="33" spans="1:93" x14ac:dyDescent="0.35">
      <c r="A33" s="19" t="s">
        <v>129</v>
      </c>
      <c r="B33" s="19"/>
      <c r="C33" s="19"/>
    </row>
    <row r="34" spans="1:93" x14ac:dyDescent="0.35">
      <c r="A34">
        <v>20</v>
      </c>
      <c r="B34" t="s">
        <v>130</v>
      </c>
      <c r="C34" t="s">
        <v>131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0</v>
      </c>
      <c r="O34">
        <v>0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0</v>
      </c>
      <c r="Y34">
        <v>0</v>
      </c>
      <c r="Z34">
        <v>0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0</v>
      </c>
      <c r="AI34">
        <v>1</v>
      </c>
      <c r="AJ34">
        <v>1</v>
      </c>
      <c r="AK34">
        <v>1</v>
      </c>
      <c r="AL34">
        <v>0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1</v>
      </c>
      <c r="BP34">
        <v>1</v>
      </c>
      <c r="BQ34">
        <v>0</v>
      </c>
      <c r="BR34">
        <v>0</v>
      </c>
      <c r="BS34">
        <v>1</v>
      </c>
      <c r="BT34">
        <v>1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1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</v>
      </c>
      <c r="CL34">
        <v>1</v>
      </c>
      <c r="CM34">
        <v>1</v>
      </c>
      <c r="CN34">
        <v>1</v>
      </c>
      <c r="CO34">
        <v>1</v>
      </c>
    </row>
    <row r="35" spans="1:93" x14ac:dyDescent="0.35">
      <c r="A35">
        <v>21</v>
      </c>
      <c r="B35" t="s">
        <v>132</v>
      </c>
      <c r="C35" t="s">
        <v>133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0</v>
      </c>
      <c r="O35">
        <v>0</v>
      </c>
      <c r="P35">
        <v>1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1</v>
      </c>
      <c r="X35">
        <v>0</v>
      </c>
      <c r="Y35">
        <v>0</v>
      </c>
      <c r="Z35">
        <v>0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>
        <v>0</v>
      </c>
      <c r="AI35">
        <v>1</v>
      </c>
      <c r="AJ35">
        <v>1</v>
      </c>
      <c r="AK35">
        <v>1</v>
      </c>
      <c r="AL35">
        <v>0</v>
      </c>
      <c r="AM35">
        <v>0</v>
      </c>
      <c r="AN35">
        <v>0</v>
      </c>
      <c r="AO35">
        <v>1</v>
      </c>
      <c r="AP35">
        <v>1</v>
      </c>
      <c r="AQ35">
        <v>1</v>
      </c>
      <c r="AR35">
        <v>0</v>
      </c>
      <c r="AS35">
        <v>0</v>
      </c>
      <c r="AT35">
        <v>1</v>
      </c>
      <c r="AU35">
        <v>1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1</v>
      </c>
      <c r="BH35">
        <v>1</v>
      </c>
      <c r="BI35">
        <v>1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1</v>
      </c>
      <c r="BQ35">
        <v>1</v>
      </c>
      <c r="BR35">
        <v>0</v>
      </c>
      <c r="BS35">
        <v>0</v>
      </c>
      <c r="BT35">
        <v>1</v>
      </c>
      <c r="BU35">
        <v>1</v>
      </c>
      <c r="BV35">
        <v>1</v>
      </c>
      <c r="BW35">
        <v>1</v>
      </c>
      <c r="BX35">
        <v>1</v>
      </c>
      <c r="BY35">
        <v>1</v>
      </c>
      <c r="BZ35">
        <v>1</v>
      </c>
      <c r="CA35">
        <v>1</v>
      </c>
      <c r="CB35">
        <v>1</v>
      </c>
      <c r="CC35">
        <v>1</v>
      </c>
      <c r="CD35">
        <v>1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</row>
    <row r="36" spans="1:93" x14ac:dyDescent="0.35">
      <c r="A36">
        <v>22</v>
      </c>
      <c r="B36" t="s">
        <v>134</v>
      </c>
      <c r="C36" t="s">
        <v>135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0</v>
      </c>
      <c r="AI36">
        <v>1</v>
      </c>
      <c r="AJ36">
        <v>0</v>
      </c>
      <c r="AK36">
        <v>0</v>
      </c>
      <c r="AL36">
        <v>0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0</v>
      </c>
      <c r="AS36">
        <v>0</v>
      </c>
      <c r="AT36">
        <v>1</v>
      </c>
      <c r="AU36">
        <v>1</v>
      </c>
      <c r="AV36">
        <v>1</v>
      </c>
      <c r="AW36">
        <v>0</v>
      </c>
      <c r="AX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1</v>
      </c>
      <c r="BQ36">
        <v>0</v>
      </c>
      <c r="BR36">
        <v>0</v>
      </c>
      <c r="BS36">
        <v>1</v>
      </c>
      <c r="BT36">
        <v>1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1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</row>
    <row r="37" spans="1:93" x14ac:dyDescent="0.35">
      <c r="A37">
        <v>23</v>
      </c>
      <c r="B37" t="s">
        <v>136</v>
      </c>
      <c r="C37" t="s">
        <v>137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1</v>
      </c>
      <c r="U37">
        <v>1</v>
      </c>
      <c r="V37">
        <v>1</v>
      </c>
      <c r="W37">
        <v>1</v>
      </c>
      <c r="X37">
        <v>0</v>
      </c>
      <c r="Y37">
        <v>0</v>
      </c>
      <c r="Z37">
        <v>0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0</v>
      </c>
      <c r="AS37">
        <v>0</v>
      </c>
      <c r="AT37">
        <v>1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1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1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</row>
    <row r="38" spans="1:93" x14ac:dyDescent="0.35">
      <c r="A38" s="21" t="s">
        <v>138</v>
      </c>
      <c r="B38" s="21"/>
      <c r="C38" s="21"/>
    </row>
    <row r="39" spans="1:93" x14ac:dyDescent="0.35">
      <c r="A39">
        <v>24</v>
      </c>
      <c r="B39" t="s">
        <v>139</v>
      </c>
      <c r="C39" t="s">
        <v>140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0</v>
      </c>
      <c r="L39">
        <v>1</v>
      </c>
      <c r="M39">
        <v>1</v>
      </c>
      <c r="N39">
        <v>0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0</v>
      </c>
      <c r="AI39">
        <v>1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1</v>
      </c>
      <c r="AR39">
        <v>0</v>
      </c>
      <c r="AS39">
        <v>0</v>
      </c>
      <c r="AT39">
        <v>1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1</v>
      </c>
      <c r="BA39">
        <v>1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1</v>
      </c>
      <c r="BP39">
        <v>1</v>
      </c>
      <c r="BQ39">
        <v>0</v>
      </c>
      <c r="BR39">
        <v>0</v>
      </c>
      <c r="BS39">
        <v>1</v>
      </c>
      <c r="BT39">
        <v>1</v>
      </c>
      <c r="BU39">
        <v>1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1</v>
      </c>
      <c r="CB39">
        <v>1</v>
      </c>
      <c r="CC39">
        <v>1</v>
      </c>
      <c r="CD39">
        <v>1</v>
      </c>
      <c r="CE39">
        <v>1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</row>
    <row r="40" spans="1:93" x14ac:dyDescent="0.35">
      <c r="A40">
        <v>25</v>
      </c>
      <c r="B40" t="s">
        <v>141</v>
      </c>
      <c r="C40" t="s">
        <v>142</v>
      </c>
      <c r="D40">
        <v>1</v>
      </c>
      <c r="E40">
        <v>1</v>
      </c>
      <c r="F40">
        <v>1</v>
      </c>
      <c r="G40">
        <v>1</v>
      </c>
      <c r="H40">
        <v>1</v>
      </c>
      <c r="I40">
        <v>0</v>
      </c>
      <c r="J40">
        <v>0</v>
      </c>
      <c r="K40">
        <v>0</v>
      </c>
      <c r="L40">
        <v>1</v>
      </c>
      <c r="M40">
        <v>1</v>
      </c>
      <c r="N40">
        <v>0</v>
      </c>
      <c r="O40">
        <v>1</v>
      </c>
      <c r="P40">
        <v>1</v>
      </c>
      <c r="Q40">
        <v>1</v>
      </c>
      <c r="R40">
        <v>1</v>
      </c>
      <c r="S40">
        <v>0</v>
      </c>
      <c r="T40">
        <v>0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0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0</v>
      </c>
      <c r="AS40">
        <v>0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1</v>
      </c>
      <c r="BQ40">
        <v>0</v>
      </c>
      <c r="BR40">
        <v>0</v>
      </c>
      <c r="BS40">
        <v>0</v>
      </c>
      <c r="BT40">
        <v>1</v>
      </c>
      <c r="BU40">
        <v>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1</v>
      </c>
      <c r="CE40">
        <v>1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</row>
    <row r="41" spans="1:93" x14ac:dyDescent="0.35">
      <c r="A41">
        <v>26</v>
      </c>
      <c r="B41" t="s">
        <v>143</v>
      </c>
      <c r="C41" t="s">
        <v>144</v>
      </c>
      <c r="D41">
        <v>1</v>
      </c>
      <c r="E41">
        <v>1</v>
      </c>
      <c r="F41">
        <v>1</v>
      </c>
      <c r="G41">
        <v>1</v>
      </c>
      <c r="H41">
        <v>1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1</v>
      </c>
      <c r="S41">
        <v>0</v>
      </c>
      <c r="T41">
        <v>0</v>
      </c>
      <c r="U41">
        <v>0</v>
      </c>
      <c r="V41">
        <v>1</v>
      </c>
      <c r="W41">
        <v>1</v>
      </c>
      <c r="X41">
        <v>0</v>
      </c>
      <c r="Y41">
        <v>0</v>
      </c>
      <c r="Z41">
        <v>0</v>
      </c>
      <c r="AA41">
        <v>1</v>
      </c>
      <c r="AB41">
        <v>1</v>
      </c>
      <c r="AC41">
        <v>0</v>
      </c>
      <c r="AD41">
        <v>1</v>
      </c>
      <c r="AE41">
        <v>1</v>
      </c>
      <c r="AF41">
        <v>1</v>
      </c>
      <c r="AG41">
        <v>1</v>
      </c>
      <c r="AH41">
        <v>0</v>
      </c>
      <c r="AI41">
        <v>0</v>
      </c>
      <c r="AJ41">
        <v>0</v>
      </c>
      <c r="AK41">
        <v>1</v>
      </c>
      <c r="AL41">
        <v>1</v>
      </c>
      <c r="AM41">
        <v>0</v>
      </c>
      <c r="AN41">
        <v>1</v>
      </c>
      <c r="AO41">
        <v>1</v>
      </c>
      <c r="AP41">
        <v>1</v>
      </c>
      <c r="AQ41">
        <v>1</v>
      </c>
      <c r="AR41">
        <v>0</v>
      </c>
      <c r="AS41">
        <v>0</v>
      </c>
      <c r="AT41">
        <v>1</v>
      </c>
      <c r="AU41">
        <v>1</v>
      </c>
      <c r="AV41">
        <v>1</v>
      </c>
      <c r="AW41">
        <v>1</v>
      </c>
      <c r="AX41">
        <v>1</v>
      </c>
      <c r="AY41">
        <v>1</v>
      </c>
      <c r="AZ41">
        <v>1</v>
      </c>
      <c r="BA41">
        <v>1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1</v>
      </c>
      <c r="BQ41">
        <v>0</v>
      </c>
      <c r="BR41">
        <v>0</v>
      </c>
      <c r="BS41">
        <v>0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1</v>
      </c>
      <c r="CE41">
        <v>1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</row>
    <row r="42" spans="1:93" x14ac:dyDescent="0.35">
      <c r="A42">
        <v>27</v>
      </c>
      <c r="B42" t="s">
        <v>145</v>
      </c>
      <c r="C42" t="s">
        <v>146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0</v>
      </c>
      <c r="L42">
        <v>1</v>
      </c>
      <c r="M42">
        <v>1</v>
      </c>
      <c r="N42">
        <v>0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  <c r="AH42">
        <v>0</v>
      </c>
      <c r="AI42">
        <v>0</v>
      </c>
      <c r="AJ42">
        <v>0</v>
      </c>
      <c r="AK42">
        <v>1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1</v>
      </c>
      <c r="AR42">
        <v>0</v>
      </c>
      <c r="AS42">
        <v>0</v>
      </c>
      <c r="AT42">
        <v>1</v>
      </c>
      <c r="AU42">
        <v>1</v>
      </c>
      <c r="AV42">
        <v>1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0</v>
      </c>
      <c r="BC42">
        <v>1</v>
      </c>
      <c r="BD42">
        <v>1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1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1</v>
      </c>
      <c r="BQ42">
        <v>0</v>
      </c>
      <c r="BR42">
        <v>0</v>
      </c>
      <c r="BS42">
        <v>0</v>
      </c>
      <c r="BT42">
        <v>1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1</v>
      </c>
      <c r="CB42">
        <v>1</v>
      </c>
      <c r="CC42">
        <v>1</v>
      </c>
      <c r="CD42">
        <v>1</v>
      </c>
      <c r="CE42">
        <v>1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</row>
    <row r="43" spans="1:93" x14ac:dyDescent="0.35">
      <c r="A43">
        <v>28</v>
      </c>
      <c r="B43" t="s">
        <v>147</v>
      </c>
      <c r="C43" t="s">
        <v>148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0</v>
      </c>
      <c r="L43">
        <v>0</v>
      </c>
      <c r="M43">
        <v>1</v>
      </c>
      <c r="N43">
        <v>0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0</v>
      </c>
      <c r="Y43">
        <v>0</v>
      </c>
      <c r="Z43">
        <v>0</v>
      </c>
      <c r="AA43">
        <v>1</v>
      </c>
      <c r="AB43">
        <v>1</v>
      </c>
      <c r="AC43">
        <v>0</v>
      </c>
      <c r="AD43">
        <v>1</v>
      </c>
      <c r="AE43">
        <v>1</v>
      </c>
      <c r="AF43">
        <v>1</v>
      </c>
      <c r="AG43">
        <v>1</v>
      </c>
      <c r="AH43">
        <v>0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0</v>
      </c>
      <c r="AS43">
        <v>0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1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1</v>
      </c>
      <c r="BQ43">
        <v>0</v>
      </c>
      <c r="BR43">
        <v>0</v>
      </c>
      <c r="BS43">
        <v>1</v>
      </c>
      <c r="BT43">
        <v>0</v>
      </c>
      <c r="BU43">
        <v>1</v>
      </c>
      <c r="BV43">
        <v>1</v>
      </c>
      <c r="BW43">
        <v>1</v>
      </c>
      <c r="BX43">
        <v>1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1</v>
      </c>
      <c r="CE43">
        <v>1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</row>
    <row r="44" spans="1:93" x14ac:dyDescent="0.35">
      <c r="A44">
        <v>29</v>
      </c>
      <c r="B44" t="s">
        <v>149</v>
      </c>
      <c r="C44" t="s">
        <v>150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1</v>
      </c>
      <c r="L44">
        <v>0</v>
      </c>
      <c r="M44">
        <v>0</v>
      </c>
      <c r="N44">
        <v>0</v>
      </c>
      <c r="O44">
        <v>0</v>
      </c>
      <c r="P44">
        <v>1</v>
      </c>
      <c r="Q44">
        <v>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1</v>
      </c>
      <c r="AE44">
        <v>1</v>
      </c>
      <c r="AF44">
        <v>1</v>
      </c>
      <c r="AG44">
        <v>1</v>
      </c>
      <c r="AH44">
        <v>0</v>
      </c>
      <c r="AI44">
        <v>0</v>
      </c>
      <c r="AJ44">
        <v>0</v>
      </c>
      <c r="AK44">
        <v>0</v>
      </c>
      <c r="AL44">
        <v>1</v>
      </c>
      <c r="AM44">
        <v>0</v>
      </c>
      <c r="AN44">
        <v>1</v>
      </c>
      <c r="AO44">
        <v>1</v>
      </c>
      <c r="AP44">
        <v>1</v>
      </c>
      <c r="AQ44">
        <v>1</v>
      </c>
      <c r="AR44">
        <v>0</v>
      </c>
      <c r="AS44">
        <v>0</v>
      </c>
      <c r="AT44">
        <v>1</v>
      </c>
      <c r="AU44">
        <v>1</v>
      </c>
      <c r="AV44">
        <v>1</v>
      </c>
      <c r="AW44">
        <v>1</v>
      </c>
      <c r="AX44">
        <v>1</v>
      </c>
      <c r="AY44">
        <v>1</v>
      </c>
      <c r="AZ44">
        <v>1</v>
      </c>
      <c r="BA44">
        <v>1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1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1</v>
      </c>
      <c r="CE44">
        <v>1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</row>
    <row r="45" spans="1:93" x14ac:dyDescent="0.35">
      <c r="A45">
        <v>30</v>
      </c>
      <c r="B45" t="s">
        <v>151</v>
      </c>
      <c r="C45" t="s">
        <v>152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0</v>
      </c>
      <c r="M45">
        <v>1</v>
      </c>
      <c r="N45">
        <v>1</v>
      </c>
      <c r="O45">
        <v>0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0</v>
      </c>
      <c r="AD45">
        <v>1</v>
      </c>
      <c r="AE45">
        <v>1</v>
      </c>
      <c r="AF45">
        <v>1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1</v>
      </c>
      <c r="AM45">
        <v>0</v>
      </c>
      <c r="AN45">
        <v>0</v>
      </c>
      <c r="AO45">
        <v>1</v>
      </c>
      <c r="AP45">
        <v>1</v>
      </c>
      <c r="AQ45">
        <v>1</v>
      </c>
      <c r="AR45">
        <v>0</v>
      </c>
      <c r="AS45">
        <v>0</v>
      </c>
      <c r="AT45">
        <v>1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1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1</v>
      </c>
      <c r="BQ45">
        <v>0</v>
      </c>
      <c r="BR45">
        <v>0</v>
      </c>
      <c r="BS45">
        <v>1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1</v>
      </c>
      <c r="CE45">
        <v>1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</row>
    <row r="46" spans="1:93" x14ac:dyDescent="0.35">
      <c r="A46" s="19" t="s">
        <v>153</v>
      </c>
      <c r="B46" s="19"/>
      <c r="C46" s="19"/>
    </row>
    <row r="47" spans="1:93" x14ac:dyDescent="0.35">
      <c r="A47">
        <v>31</v>
      </c>
      <c r="B47" t="s">
        <v>154</v>
      </c>
      <c r="C47" t="s">
        <v>155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0</v>
      </c>
      <c r="O47">
        <v>0</v>
      </c>
      <c r="P47">
        <v>1</v>
      </c>
      <c r="Q47">
        <v>1</v>
      </c>
      <c r="R47">
        <v>1</v>
      </c>
      <c r="S47">
        <v>0</v>
      </c>
      <c r="T47">
        <v>0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0</v>
      </c>
      <c r="AJ47">
        <v>0</v>
      </c>
      <c r="AK47">
        <v>1</v>
      </c>
      <c r="AL47">
        <v>1</v>
      </c>
      <c r="AM47">
        <v>1</v>
      </c>
      <c r="AN47">
        <v>1</v>
      </c>
      <c r="AO47">
        <v>1</v>
      </c>
      <c r="AP47">
        <v>1</v>
      </c>
      <c r="AQ47">
        <v>1</v>
      </c>
      <c r="AR47">
        <v>0</v>
      </c>
      <c r="AS47">
        <v>0</v>
      </c>
      <c r="AT47">
        <v>1</v>
      </c>
      <c r="AU47">
        <v>1</v>
      </c>
      <c r="AV47">
        <v>1</v>
      </c>
      <c r="AW47">
        <v>1</v>
      </c>
      <c r="AX47">
        <v>1</v>
      </c>
      <c r="AY47">
        <v>1</v>
      </c>
      <c r="AZ47">
        <v>1</v>
      </c>
      <c r="BA47">
        <v>1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0</v>
      </c>
      <c r="BM47">
        <v>0</v>
      </c>
      <c r="BN47">
        <v>0</v>
      </c>
      <c r="BO47">
        <v>1</v>
      </c>
      <c r="BP47">
        <v>1</v>
      </c>
      <c r="BQ47">
        <v>0</v>
      </c>
      <c r="BR47">
        <v>0</v>
      </c>
      <c r="BS47">
        <v>1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1</v>
      </c>
      <c r="CE47">
        <v>1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</row>
    <row r="48" spans="1:93" x14ac:dyDescent="0.35">
      <c r="A48">
        <v>32</v>
      </c>
      <c r="B48" t="s">
        <v>156</v>
      </c>
      <c r="C48" t="s">
        <v>157</v>
      </c>
      <c r="D48">
        <v>1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0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0</v>
      </c>
      <c r="Y48">
        <v>0</v>
      </c>
      <c r="Z48">
        <v>0</v>
      </c>
      <c r="AA48">
        <v>1</v>
      </c>
      <c r="AB48">
        <v>1</v>
      </c>
      <c r="AC48">
        <v>1</v>
      </c>
      <c r="AD48">
        <v>1</v>
      </c>
      <c r="AE48">
        <v>1</v>
      </c>
      <c r="AF48">
        <v>1</v>
      </c>
      <c r="AG48">
        <v>1</v>
      </c>
      <c r="AH48">
        <v>1</v>
      </c>
      <c r="AI48">
        <v>1</v>
      </c>
      <c r="AJ48">
        <v>1</v>
      </c>
      <c r="AK48">
        <v>1</v>
      </c>
      <c r="AL48">
        <v>1</v>
      </c>
      <c r="AM48">
        <v>1</v>
      </c>
      <c r="AN48">
        <v>1</v>
      </c>
      <c r="AO48">
        <v>1</v>
      </c>
      <c r="AP48">
        <v>1</v>
      </c>
      <c r="AQ48">
        <v>1</v>
      </c>
      <c r="AR48">
        <v>1</v>
      </c>
      <c r="AS48">
        <v>1</v>
      </c>
      <c r="AT48">
        <v>1</v>
      </c>
      <c r="AU48">
        <v>1</v>
      </c>
      <c r="AV48">
        <v>1</v>
      </c>
      <c r="AW48">
        <v>1</v>
      </c>
      <c r="AX48">
        <v>1</v>
      </c>
      <c r="AY48">
        <v>1</v>
      </c>
      <c r="AZ48">
        <v>1</v>
      </c>
      <c r="BA48">
        <v>1</v>
      </c>
      <c r="BB48">
        <v>0</v>
      </c>
      <c r="BC48">
        <v>1</v>
      </c>
      <c r="BD48">
        <v>1</v>
      </c>
      <c r="BE48">
        <v>1</v>
      </c>
      <c r="BF48">
        <v>1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1</v>
      </c>
      <c r="BP48">
        <v>1</v>
      </c>
      <c r="BQ48">
        <v>0</v>
      </c>
      <c r="BR48">
        <v>0</v>
      </c>
      <c r="BS48">
        <v>1</v>
      </c>
      <c r="BT48">
        <v>1</v>
      </c>
      <c r="BU48">
        <v>1</v>
      </c>
      <c r="BV48">
        <v>1</v>
      </c>
      <c r="BW48">
        <v>1</v>
      </c>
      <c r="BX48">
        <v>1</v>
      </c>
      <c r="BY48">
        <v>1</v>
      </c>
      <c r="BZ48">
        <v>1</v>
      </c>
      <c r="CA48">
        <v>0</v>
      </c>
      <c r="CB48">
        <v>1</v>
      </c>
      <c r="CC48">
        <v>1</v>
      </c>
      <c r="CD48">
        <v>1</v>
      </c>
      <c r="CE48">
        <v>1</v>
      </c>
      <c r="CF48">
        <v>1</v>
      </c>
      <c r="CG48">
        <v>1</v>
      </c>
      <c r="CH48">
        <v>1</v>
      </c>
      <c r="CI48">
        <v>1</v>
      </c>
      <c r="CJ48">
        <v>1</v>
      </c>
      <c r="CK48">
        <v>1</v>
      </c>
      <c r="CL48">
        <v>1</v>
      </c>
      <c r="CM48">
        <v>1</v>
      </c>
      <c r="CN48">
        <v>1</v>
      </c>
      <c r="CO48">
        <v>1</v>
      </c>
    </row>
    <row r="49" spans="1:93" x14ac:dyDescent="0.35">
      <c r="A49">
        <v>33</v>
      </c>
      <c r="B49" t="s">
        <v>158</v>
      </c>
      <c r="C49" t="s">
        <v>159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0</v>
      </c>
      <c r="P49">
        <v>0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0</v>
      </c>
      <c r="AI49">
        <v>0</v>
      </c>
      <c r="AJ49">
        <v>0</v>
      </c>
      <c r="AK49">
        <v>1</v>
      </c>
      <c r="AL49">
        <v>1</v>
      </c>
      <c r="AM49">
        <v>0</v>
      </c>
      <c r="AN49">
        <v>1</v>
      </c>
      <c r="AO49">
        <v>1</v>
      </c>
      <c r="AP49">
        <v>1</v>
      </c>
      <c r="AQ49">
        <v>1</v>
      </c>
      <c r="AR49">
        <v>0</v>
      </c>
      <c r="AS49">
        <v>0</v>
      </c>
      <c r="AT49">
        <v>1</v>
      </c>
      <c r="AU49">
        <v>1</v>
      </c>
      <c r="AV49">
        <v>1</v>
      </c>
      <c r="AW49">
        <v>1</v>
      </c>
      <c r="AX49">
        <v>1</v>
      </c>
      <c r="AY49">
        <v>1</v>
      </c>
      <c r="AZ49">
        <v>1</v>
      </c>
      <c r="BA49">
        <v>1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1</v>
      </c>
      <c r="BO49">
        <v>1</v>
      </c>
      <c r="BP49">
        <v>1</v>
      </c>
      <c r="BQ49">
        <v>0</v>
      </c>
      <c r="BR49">
        <v>0</v>
      </c>
      <c r="BS49">
        <v>1</v>
      </c>
      <c r="BT49">
        <v>1</v>
      </c>
      <c r="BU49">
        <v>1</v>
      </c>
      <c r="BV49">
        <v>1</v>
      </c>
      <c r="BW49">
        <v>1</v>
      </c>
      <c r="BX49">
        <v>1</v>
      </c>
      <c r="BY49">
        <v>1</v>
      </c>
      <c r="BZ49">
        <v>1</v>
      </c>
      <c r="CA49">
        <v>0</v>
      </c>
      <c r="CB49">
        <v>0</v>
      </c>
      <c r="CC49">
        <v>0</v>
      </c>
      <c r="CD49">
        <v>1</v>
      </c>
      <c r="CE49">
        <v>1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</row>
    <row r="50" spans="1:93" x14ac:dyDescent="0.35">
      <c r="A50">
        <v>34</v>
      </c>
      <c r="B50" t="s">
        <v>160</v>
      </c>
      <c r="C50" t="s">
        <v>161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0</v>
      </c>
      <c r="O50">
        <v>0</v>
      </c>
      <c r="P50">
        <v>0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>
        <v>0</v>
      </c>
      <c r="AJ50">
        <v>0</v>
      </c>
      <c r="AK50">
        <v>0</v>
      </c>
      <c r="AL50">
        <v>1</v>
      </c>
      <c r="AM50">
        <v>1</v>
      </c>
      <c r="AN50">
        <v>1</v>
      </c>
      <c r="AO50">
        <v>1</v>
      </c>
      <c r="AP50">
        <v>1</v>
      </c>
      <c r="AQ50">
        <v>1</v>
      </c>
      <c r="AR50">
        <v>1</v>
      </c>
      <c r="AS50">
        <v>1</v>
      </c>
      <c r="AT50">
        <v>1</v>
      </c>
      <c r="AU50">
        <v>1</v>
      </c>
      <c r="AV50">
        <v>1</v>
      </c>
      <c r="AW50">
        <v>1</v>
      </c>
      <c r="AX50">
        <v>1</v>
      </c>
      <c r="AY50">
        <v>1</v>
      </c>
      <c r="AZ50">
        <v>1</v>
      </c>
      <c r="BA50">
        <v>1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1</v>
      </c>
      <c r="BH50">
        <v>1</v>
      </c>
      <c r="BI50">
        <v>1</v>
      </c>
      <c r="BJ50">
        <v>1</v>
      </c>
      <c r="BK50">
        <v>1</v>
      </c>
      <c r="BL50">
        <v>0</v>
      </c>
      <c r="BM50">
        <v>1</v>
      </c>
      <c r="BN50">
        <v>0</v>
      </c>
      <c r="BO50">
        <v>1</v>
      </c>
      <c r="BP50">
        <v>1</v>
      </c>
      <c r="BQ50">
        <v>0</v>
      </c>
      <c r="BR50">
        <v>0</v>
      </c>
      <c r="BS50">
        <v>0</v>
      </c>
      <c r="BT50">
        <v>1</v>
      </c>
      <c r="BU50">
        <v>1</v>
      </c>
      <c r="BV50">
        <v>1</v>
      </c>
      <c r="BW50">
        <v>1</v>
      </c>
      <c r="BX50">
        <v>1</v>
      </c>
      <c r="BY50">
        <v>1</v>
      </c>
      <c r="BZ50">
        <v>1</v>
      </c>
      <c r="CA50">
        <v>0</v>
      </c>
      <c r="CB50">
        <v>0</v>
      </c>
      <c r="CC50">
        <v>0</v>
      </c>
      <c r="CD50">
        <v>1</v>
      </c>
      <c r="CE50">
        <v>1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1</v>
      </c>
      <c r="CL50">
        <v>1</v>
      </c>
      <c r="CM50">
        <v>1</v>
      </c>
      <c r="CN50">
        <v>1</v>
      </c>
      <c r="CO50">
        <v>1</v>
      </c>
    </row>
    <row r="51" spans="1:93" x14ac:dyDescent="0.35">
      <c r="A51">
        <v>35</v>
      </c>
      <c r="B51" t="s">
        <v>162</v>
      </c>
      <c r="C51" t="s">
        <v>163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0</v>
      </c>
      <c r="O51">
        <v>0</v>
      </c>
      <c r="P51">
        <v>1</v>
      </c>
      <c r="Q51">
        <v>1</v>
      </c>
      <c r="R51">
        <v>1</v>
      </c>
      <c r="S51">
        <v>0</v>
      </c>
      <c r="T51">
        <v>0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0</v>
      </c>
      <c r="AI51">
        <v>0</v>
      </c>
      <c r="AJ51">
        <v>0</v>
      </c>
      <c r="AK51">
        <v>0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0</v>
      </c>
      <c r="AS51">
        <v>0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1</v>
      </c>
      <c r="BP51">
        <v>1</v>
      </c>
      <c r="BQ51">
        <v>0</v>
      </c>
      <c r="BR51">
        <v>0</v>
      </c>
      <c r="BS51">
        <v>1</v>
      </c>
      <c r="BT51">
        <v>1</v>
      </c>
      <c r="BU51">
        <v>1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1</v>
      </c>
      <c r="CE51">
        <v>1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</row>
    <row r="52" spans="1:93" x14ac:dyDescent="0.35">
      <c r="A52" s="19" t="s">
        <v>164</v>
      </c>
      <c r="B52" s="19"/>
      <c r="C52" s="19"/>
    </row>
    <row r="53" spans="1:93" x14ac:dyDescent="0.35">
      <c r="A53">
        <v>36</v>
      </c>
      <c r="B53" t="s">
        <v>165</v>
      </c>
      <c r="C53" t="s">
        <v>166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1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</row>
    <row r="54" spans="1:93" x14ac:dyDescent="0.35">
      <c r="A54">
        <v>37</v>
      </c>
      <c r="B54" t="s">
        <v>167</v>
      </c>
      <c r="C54" t="s">
        <v>168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</row>
    <row r="55" spans="1:93" x14ac:dyDescent="0.35">
      <c r="A55" s="19" t="s">
        <v>169</v>
      </c>
      <c r="B55" s="19"/>
      <c r="C55" s="19"/>
    </row>
    <row r="56" spans="1:93" x14ac:dyDescent="0.35">
      <c r="A56">
        <v>38</v>
      </c>
      <c r="B56" t="s">
        <v>170</v>
      </c>
      <c r="C56" t="s">
        <v>171</v>
      </c>
      <c r="D56">
        <v>0</v>
      </c>
      <c r="E56">
        <v>0</v>
      </c>
      <c r="F56">
        <v>1</v>
      </c>
      <c r="G56">
        <v>0</v>
      </c>
      <c r="H56">
        <v>0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0</v>
      </c>
      <c r="P56">
        <v>0</v>
      </c>
      <c r="Q56">
        <v>0</v>
      </c>
      <c r="R56">
        <v>0</v>
      </c>
      <c r="S56">
        <v>1</v>
      </c>
      <c r="T56">
        <v>1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1</v>
      </c>
      <c r="AJ56">
        <v>0</v>
      </c>
      <c r="AK56">
        <v>0</v>
      </c>
      <c r="AL56">
        <v>0</v>
      </c>
      <c r="AM56">
        <v>1</v>
      </c>
      <c r="AN56">
        <v>1</v>
      </c>
      <c r="AO56">
        <v>1</v>
      </c>
      <c r="AP56">
        <v>1</v>
      </c>
      <c r="AQ56">
        <v>1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1</v>
      </c>
      <c r="AX56">
        <v>1</v>
      </c>
      <c r="AY56">
        <v>1</v>
      </c>
      <c r="AZ56">
        <v>1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1</v>
      </c>
      <c r="BO56">
        <v>0</v>
      </c>
      <c r="BP56">
        <v>0</v>
      </c>
      <c r="BQ56">
        <v>1</v>
      </c>
      <c r="BR56">
        <v>0</v>
      </c>
      <c r="BS56">
        <v>1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</row>
    <row r="57" spans="1:93" x14ac:dyDescent="0.35">
      <c r="A57" s="19" t="s">
        <v>172</v>
      </c>
      <c r="B57" s="19"/>
      <c r="C57" s="19"/>
    </row>
    <row r="58" spans="1:93" x14ac:dyDescent="0.35">
      <c r="A58">
        <v>39</v>
      </c>
      <c r="B58" t="s">
        <v>173</v>
      </c>
      <c r="C58" t="s">
        <v>174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</row>
    <row r="59" spans="1:93" x14ac:dyDescent="0.35">
      <c r="A59" s="19" t="s">
        <v>175</v>
      </c>
      <c r="B59" s="19"/>
      <c r="C59" s="19"/>
    </row>
    <row r="60" spans="1:93" x14ac:dyDescent="0.35">
      <c r="A60">
        <v>40</v>
      </c>
      <c r="B60" t="s">
        <v>176</v>
      </c>
      <c r="C60" t="s">
        <v>177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</row>
    <row r="61" spans="1:93" x14ac:dyDescent="0.35">
      <c r="A61" s="19" t="s">
        <v>178</v>
      </c>
      <c r="B61" s="19"/>
      <c r="C61" s="19"/>
    </row>
    <row r="62" spans="1:93" x14ac:dyDescent="0.35">
      <c r="A62">
        <v>41</v>
      </c>
      <c r="B62" t="s">
        <v>179</v>
      </c>
      <c r="C62" s="22" t="s">
        <v>180</v>
      </c>
      <c r="D62">
        <v>0</v>
      </c>
      <c r="E62">
        <v>0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0</v>
      </c>
      <c r="O62">
        <v>0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1</v>
      </c>
      <c r="AG62">
        <v>1</v>
      </c>
      <c r="AH62">
        <v>0</v>
      </c>
      <c r="AI62">
        <v>0</v>
      </c>
      <c r="AJ62">
        <v>0</v>
      </c>
      <c r="AK62">
        <v>1</v>
      </c>
      <c r="AL62">
        <v>1</v>
      </c>
      <c r="AM62">
        <v>0</v>
      </c>
      <c r="AN62">
        <v>1</v>
      </c>
      <c r="AO62">
        <v>0</v>
      </c>
      <c r="AP62">
        <v>1</v>
      </c>
      <c r="AQ62">
        <v>1</v>
      </c>
      <c r="AR62">
        <v>0</v>
      </c>
      <c r="AS62">
        <v>0</v>
      </c>
      <c r="AT62">
        <v>1</v>
      </c>
      <c r="AU62">
        <v>1</v>
      </c>
      <c r="AV62">
        <v>1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1</v>
      </c>
      <c r="BT62">
        <v>1</v>
      </c>
      <c r="BU62">
        <v>1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</row>
    <row r="63" spans="1:93" x14ac:dyDescent="0.35">
      <c r="A63">
        <v>42</v>
      </c>
      <c r="B63" t="s">
        <v>181</v>
      </c>
      <c r="C63" t="s">
        <v>182</v>
      </c>
      <c r="D63">
        <v>0</v>
      </c>
      <c r="E63">
        <v>0</v>
      </c>
      <c r="F63">
        <v>0</v>
      </c>
      <c r="G63">
        <v>1</v>
      </c>
      <c r="H63">
        <v>1</v>
      </c>
      <c r="I63">
        <v>0</v>
      </c>
      <c r="J63">
        <v>0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1</v>
      </c>
      <c r="AG63">
        <v>1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1</v>
      </c>
      <c r="AO63">
        <v>0</v>
      </c>
      <c r="AP63">
        <v>1</v>
      </c>
      <c r="AQ63">
        <v>1</v>
      </c>
      <c r="AR63">
        <v>0</v>
      </c>
      <c r="AS63">
        <v>0</v>
      </c>
      <c r="AT63">
        <v>1</v>
      </c>
      <c r="AU63">
        <v>1</v>
      </c>
      <c r="AV63">
        <v>1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</row>
    <row r="64" spans="1:93" x14ac:dyDescent="0.35">
      <c r="A64">
        <v>43</v>
      </c>
      <c r="B64" t="s">
        <v>183</v>
      </c>
      <c r="C64" t="s">
        <v>184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1</v>
      </c>
      <c r="BW64">
        <v>1</v>
      </c>
      <c r="BX64">
        <v>1</v>
      </c>
      <c r="BY64">
        <v>1</v>
      </c>
      <c r="BZ64">
        <v>1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1</v>
      </c>
      <c r="CL64">
        <v>1</v>
      </c>
      <c r="CM64">
        <v>1</v>
      </c>
      <c r="CN64">
        <v>1</v>
      </c>
      <c r="CO64">
        <v>1</v>
      </c>
    </row>
    <row r="65" spans="1:93" x14ac:dyDescent="0.35">
      <c r="A65" s="19" t="s">
        <v>185</v>
      </c>
      <c r="B65" s="19"/>
      <c r="C65" s="19"/>
    </row>
    <row r="66" spans="1:93" x14ac:dyDescent="0.35">
      <c r="A66" s="23" t="s">
        <v>186</v>
      </c>
      <c r="B66" s="23"/>
      <c r="C66" s="23"/>
    </row>
    <row r="67" spans="1:93" x14ac:dyDescent="0.35">
      <c r="A67">
        <v>44</v>
      </c>
      <c r="B67" t="s">
        <v>187</v>
      </c>
      <c r="C67" t="s">
        <v>188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0</v>
      </c>
      <c r="Y67">
        <v>0</v>
      </c>
      <c r="Z67">
        <v>0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0</v>
      </c>
      <c r="BP67">
        <v>1</v>
      </c>
      <c r="BQ67">
        <v>1</v>
      </c>
      <c r="BR67">
        <v>1</v>
      </c>
      <c r="BS67">
        <v>1</v>
      </c>
      <c r="BT67">
        <v>1</v>
      </c>
      <c r="BU67">
        <v>1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1</v>
      </c>
      <c r="CC67">
        <v>1</v>
      </c>
      <c r="CD67">
        <v>1</v>
      </c>
      <c r="CE67">
        <v>1</v>
      </c>
      <c r="CF67">
        <v>1</v>
      </c>
      <c r="CG67">
        <v>1</v>
      </c>
      <c r="CH67">
        <v>1</v>
      </c>
      <c r="CI67">
        <v>1</v>
      </c>
      <c r="CJ67">
        <v>1</v>
      </c>
      <c r="CK67">
        <v>0</v>
      </c>
      <c r="CL67">
        <v>0</v>
      </c>
      <c r="CM67">
        <v>0</v>
      </c>
      <c r="CN67">
        <v>0</v>
      </c>
      <c r="CO67">
        <v>0</v>
      </c>
    </row>
    <row r="68" spans="1:93" x14ac:dyDescent="0.35">
      <c r="A68">
        <v>45</v>
      </c>
      <c r="B68" t="s">
        <v>189</v>
      </c>
      <c r="C68" t="s">
        <v>190</v>
      </c>
      <c r="D68">
        <v>0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1</v>
      </c>
      <c r="AG68">
        <v>1</v>
      </c>
      <c r="AH68">
        <v>0</v>
      </c>
      <c r="AI68">
        <v>1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0</v>
      </c>
      <c r="AS68">
        <v>0</v>
      </c>
      <c r="AT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>
        <v>1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1</v>
      </c>
      <c r="BO68">
        <v>1</v>
      </c>
      <c r="BP68">
        <v>1</v>
      </c>
      <c r="BQ68">
        <v>1</v>
      </c>
      <c r="BR68">
        <v>1</v>
      </c>
      <c r="BS68">
        <v>1</v>
      </c>
      <c r="BT68">
        <v>1</v>
      </c>
      <c r="BU68">
        <v>1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1</v>
      </c>
      <c r="CB68">
        <v>1</v>
      </c>
      <c r="CC68">
        <v>0</v>
      </c>
      <c r="CD68">
        <v>1</v>
      </c>
      <c r="CE68">
        <v>1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</row>
    <row r="69" spans="1:93" x14ac:dyDescent="0.35">
      <c r="A69">
        <v>46</v>
      </c>
      <c r="B69" t="s">
        <v>191</v>
      </c>
      <c r="C69" t="s">
        <v>192</v>
      </c>
      <c r="D69">
        <v>0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0</v>
      </c>
      <c r="Y69">
        <v>0</v>
      </c>
      <c r="Z69">
        <v>0</v>
      </c>
      <c r="AA69">
        <v>1</v>
      </c>
      <c r="AB69">
        <v>1</v>
      </c>
      <c r="AC69">
        <v>0</v>
      </c>
      <c r="AD69">
        <v>0</v>
      </c>
      <c r="AE69">
        <v>0</v>
      </c>
      <c r="AF69">
        <v>1</v>
      </c>
      <c r="AG69">
        <v>1</v>
      </c>
      <c r="AH69">
        <v>1</v>
      </c>
      <c r="AI69">
        <v>1</v>
      </c>
      <c r="AJ69">
        <v>0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0</v>
      </c>
      <c r="AS69">
        <v>0</v>
      </c>
      <c r="AT69">
        <v>1</v>
      </c>
      <c r="AU69">
        <v>1</v>
      </c>
      <c r="AV69">
        <v>1</v>
      </c>
      <c r="AW69">
        <v>1</v>
      </c>
      <c r="AX69">
        <v>1</v>
      </c>
      <c r="AY69">
        <v>1</v>
      </c>
      <c r="AZ69">
        <v>1</v>
      </c>
      <c r="BA69">
        <v>1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1</v>
      </c>
      <c r="BQ69">
        <v>1</v>
      </c>
      <c r="BR69">
        <v>1</v>
      </c>
      <c r="BS69">
        <v>1</v>
      </c>
      <c r="BT69">
        <v>1</v>
      </c>
      <c r="BU69">
        <v>1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1</v>
      </c>
      <c r="CE69">
        <v>1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</row>
    <row r="70" spans="1:93" x14ac:dyDescent="0.35">
      <c r="A70" s="16" t="s">
        <v>193</v>
      </c>
    </row>
    <row r="71" spans="1:93" x14ac:dyDescent="0.35">
      <c r="A71">
        <v>47</v>
      </c>
      <c r="B71" t="s">
        <v>194</v>
      </c>
      <c r="C71" t="s">
        <v>195</v>
      </c>
      <c r="D71">
        <v>0</v>
      </c>
      <c r="E71">
        <v>0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0</v>
      </c>
      <c r="O71">
        <v>0</v>
      </c>
      <c r="P71">
        <v>0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1</v>
      </c>
      <c r="AG71">
        <v>1</v>
      </c>
      <c r="AH71">
        <v>1</v>
      </c>
      <c r="AI71">
        <v>1</v>
      </c>
      <c r="AJ71">
        <v>1</v>
      </c>
      <c r="AK71">
        <v>1</v>
      </c>
      <c r="AL71">
        <v>1</v>
      </c>
      <c r="AM71">
        <v>0</v>
      </c>
      <c r="AN71">
        <v>1</v>
      </c>
      <c r="AO71">
        <v>0</v>
      </c>
      <c r="AP71">
        <v>1</v>
      </c>
      <c r="AQ71">
        <v>1</v>
      </c>
      <c r="AR71">
        <v>1</v>
      </c>
      <c r="AS71">
        <v>1</v>
      </c>
      <c r="AT71">
        <v>1</v>
      </c>
      <c r="AU71">
        <v>1</v>
      </c>
      <c r="AV71">
        <v>1</v>
      </c>
      <c r="AX71">
        <v>0</v>
      </c>
      <c r="AY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1</v>
      </c>
      <c r="BU71">
        <v>1</v>
      </c>
      <c r="BV71">
        <v>1</v>
      </c>
      <c r="BW71">
        <v>1</v>
      </c>
      <c r="BX71">
        <v>1</v>
      </c>
      <c r="BY71">
        <v>1</v>
      </c>
      <c r="BZ71">
        <v>1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</row>
    <row r="72" spans="1:93" x14ac:dyDescent="0.35">
      <c r="A72" s="16" t="s">
        <v>196</v>
      </c>
    </row>
    <row r="73" spans="1:93" x14ac:dyDescent="0.35">
      <c r="A73">
        <v>48</v>
      </c>
      <c r="B73" t="s">
        <v>197</v>
      </c>
      <c r="C73" t="s">
        <v>198</v>
      </c>
      <c r="D73">
        <v>1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0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0</v>
      </c>
      <c r="AD73">
        <v>1</v>
      </c>
      <c r="AE73">
        <v>1</v>
      </c>
      <c r="AF73">
        <v>1</v>
      </c>
      <c r="AG73">
        <v>1</v>
      </c>
      <c r="AH73">
        <v>1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1</v>
      </c>
      <c r="AR73">
        <v>1</v>
      </c>
      <c r="AS73">
        <v>1</v>
      </c>
      <c r="AT73">
        <v>1</v>
      </c>
      <c r="AU73">
        <v>1</v>
      </c>
      <c r="AV73">
        <v>1</v>
      </c>
      <c r="AW73">
        <v>1</v>
      </c>
      <c r="AX73">
        <v>1</v>
      </c>
      <c r="AY73">
        <v>1</v>
      </c>
      <c r="AZ73">
        <v>1</v>
      </c>
      <c r="BA73">
        <v>1</v>
      </c>
      <c r="BB73">
        <v>1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1</v>
      </c>
      <c r="BO73">
        <v>1</v>
      </c>
      <c r="BP73">
        <v>0</v>
      </c>
      <c r="BQ73">
        <v>1</v>
      </c>
      <c r="BR73">
        <v>1</v>
      </c>
      <c r="BS73">
        <v>1</v>
      </c>
      <c r="BT73">
        <v>1</v>
      </c>
      <c r="BU73">
        <v>1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1</v>
      </c>
      <c r="CB73">
        <v>1</v>
      </c>
      <c r="CC73">
        <v>1</v>
      </c>
      <c r="CD73">
        <v>1</v>
      </c>
      <c r="CE73">
        <v>1</v>
      </c>
      <c r="CF73">
        <v>1</v>
      </c>
      <c r="CG73">
        <v>1</v>
      </c>
      <c r="CH73">
        <v>1</v>
      </c>
      <c r="CI73">
        <v>1</v>
      </c>
      <c r="CJ73">
        <v>1</v>
      </c>
      <c r="CK73">
        <v>1</v>
      </c>
      <c r="CL73">
        <v>1</v>
      </c>
      <c r="CM73">
        <v>1</v>
      </c>
      <c r="CN73">
        <v>1</v>
      </c>
      <c r="CO73">
        <v>1</v>
      </c>
    </row>
    <row r="74" spans="1:93" x14ac:dyDescent="0.35">
      <c r="A74">
        <v>49</v>
      </c>
      <c r="B74" t="s">
        <v>199</v>
      </c>
      <c r="C74" t="s">
        <v>200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0</v>
      </c>
      <c r="T74">
        <v>0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0</v>
      </c>
      <c r="AI74">
        <v>1</v>
      </c>
      <c r="AJ74">
        <v>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0</v>
      </c>
      <c r="AS74">
        <v>0</v>
      </c>
      <c r="AT74">
        <v>1</v>
      </c>
      <c r="AU74">
        <v>1</v>
      </c>
      <c r="AV74">
        <v>1</v>
      </c>
      <c r="AW74">
        <v>1</v>
      </c>
      <c r="AX74">
        <v>1</v>
      </c>
      <c r="AY74">
        <v>1</v>
      </c>
      <c r="AZ74">
        <v>1</v>
      </c>
      <c r="BA74">
        <v>1</v>
      </c>
      <c r="BB74">
        <v>1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1</v>
      </c>
      <c r="BM74">
        <v>1</v>
      </c>
      <c r="BN74">
        <v>1</v>
      </c>
      <c r="BO74">
        <v>1</v>
      </c>
      <c r="BP74">
        <v>0</v>
      </c>
      <c r="BQ74">
        <v>1</v>
      </c>
      <c r="BR74">
        <v>1</v>
      </c>
      <c r="BS74">
        <v>1</v>
      </c>
      <c r="BT74">
        <v>1</v>
      </c>
      <c r="BU74">
        <v>1</v>
      </c>
      <c r="BV74">
        <v>1</v>
      </c>
      <c r="BW74">
        <v>1</v>
      </c>
      <c r="BX74">
        <v>1</v>
      </c>
      <c r="BY74">
        <v>1</v>
      </c>
      <c r="BZ74">
        <v>1</v>
      </c>
      <c r="CA74">
        <v>1</v>
      </c>
      <c r="CB74">
        <v>1</v>
      </c>
      <c r="CC74">
        <v>1</v>
      </c>
      <c r="CD74">
        <v>1</v>
      </c>
      <c r="CE74">
        <v>1</v>
      </c>
      <c r="CF74">
        <v>1</v>
      </c>
      <c r="CG74">
        <v>1</v>
      </c>
      <c r="CH74">
        <v>1</v>
      </c>
      <c r="CI74">
        <v>1</v>
      </c>
      <c r="CJ74">
        <v>1</v>
      </c>
      <c r="CK74">
        <v>0</v>
      </c>
      <c r="CL74">
        <v>0</v>
      </c>
      <c r="CM74">
        <v>0</v>
      </c>
      <c r="CN74">
        <v>0</v>
      </c>
      <c r="CO74">
        <v>0</v>
      </c>
    </row>
    <row r="75" spans="1:93" x14ac:dyDescent="0.35">
      <c r="A75">
        <v>50</v>
      </c>
      <c r="B75" t="s">
        <v>201</v>
      </c>
      <c r="C75" t="s">
        <v>202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0</v>
      </c>
      <c r="O75">
        <v>0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0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1</v>
      </c>
      <c r="AO75">
        <v>1</v>
      </c>
      <c r="AP75">
        <v>1</v>
      </c>
      <c r="AQ75">
        <v>1</v>
      </c>
      <c r="AR75">
        <v>0</v>
      </c>
      <c r="AS75">
        <v>0</v>
      </c>
      <c r="AT75">
        <v>1</v>
      </c>
      <c r="AU75">
        <v>1</v>
      </c>
      <c r="AV75">
        <v>1</v>
      </c>
      <c r="AW75">
        <v>1</v>
      </c>
      <c r="AX75">
        <v>1</v>
      </c>
      <c r="AY75">
        <v>1</v>
      </c>
      <c r="AZ75">
        <v>1</v>
      </c>
      <c r="BA75">
        <v>1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1</v>
      </c>
      <c r="BO75">
        <v>1</v>
      </c>
      <c r="BP75">
        <v>0</v>
      </c>
      <c r="BQ75">
        <v>0</v>
      </c>
      <c r="BR75">
        <v>0</v>
      </c>
      <c r="BS75">
        <v>1</v>
      </c>
      <c r="BT75">
        <v>1</v>
      </c>
      <c r="BU75">
        <v>1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1</v>
      </c>
      <c r="CB75">
        <v>1</v>
      </c>
      <c r="CC75">
        <v>1</v>
      </c>
      <c r="CD75">
        <v>1</v>
      </c>
      <c r="CE75">
        <v>1</v>
      </c>
      <c r="CF75">
        <v>1</v>
      </c>
      <c r="CG75">
        <v>1</v>
      </c>
      <c r="CH75">
        <v>1</v>
      </c>
      <c r="CI75">
        <v>1</v>
      </c>
      <c r="CJ75">
        <v>1</v>
      </c>
      <c r="CK75">
        <v>0</v>
      </c>
      <c r="CL75">
        <v>0</v>
      </c>
      <c r="CM75">
        <v>0</v>
      </c>
      <c r="CN75">
        <v>0</v>
      </c>
      <c r="CO75">
        <v>0</v>
      </c>
    </row>
    <row r="76" spans="1:93" x14ac:dyDescent="0.35">
      <c r="A76">
        <v>51</v>
      </c>
      <c r="B76" t="s">
        <v>203</v>
      </c>
      <c r="C76" t="s">
        <v>204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0</v>
      </c>
      <c r="O76">
        <v>0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0</v>
      </c>
      <c r="AD76">
        <v>1</v>
      </c>
      <c r="AE76">
        <v>1</v>
      </c>
      <c r="AF76">
        <v>1</v>
      </c>
      <c r="AG76">
        <v>1</v>
      </c>
      <c r="AH76">
        <v>0</v>
      </c>
      <c r="AI76">
        <v>1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1</v>
      </c>
      <c r="AR76">
        <v>0</v>
      </c>
      <c r="AS76">
        <v>0</v>
      </c>
      <c r="AT76">
        <v>1</v>
      </c>
      <c r="AU76">
        <v>1</v>
      </c>
      <c r="AV76">
        <v>1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1</v>
      </c>
      <c r="BO76">
        <v>1</v>
      </c>
      <c r="BP76">
        <v>0</v>
      </c>
      <c r="BQ76">
        <v>0</v>
      </c>
      <c r="BR76">
        <v>0</v>
      </c>
      <c r="BS76">
        <v>1</v>
      </c>
      <c r="BT76">
        <v>1</v>
      </c>
      <c r="BU76">
        <v>1</v>
      </c>
      <c r="BV76">
        <v>1</v>
      </c>
      <c r="BW76">
        <v>1</v>
      </c>
      <c r="BX76">
        <v>1</v>
      </c>
      <c r="BY76">
        <v>1</v>
      </c>
      <c r="BZ76">
        <v>1</v>
      </c>
      <c r="CA76">
        <v>1</v>
      </c>
      <c r="CB76">
        <v>0</v>
      </c>
      <c r="CC76">
        <v>0</v>
      </c>
      <c r="CD76">
        <v>1</v>
      </c>
      <c r="CE76">
        <v>1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</row>
    <row r="77" spans="1:93" x14ac:dyDescent="0.35">
      <c r="A77" s="16" t="s">
        <v>205</v>
      </c>
    </row>
    <row r="78" spans="1:93" x14ac:dyDescent="0.35">
      <c r="A78">
        <v>52</v>
      </c>
      <c r="B78" t="s">
        <v>206</v>
      </c>
      <c r="C78" t="s">
        <v>207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0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0</v>
      </c>
      <c r="Y78">
        <v>0</v>
      </c>
      <c r="Z78">
        <v>0</v>
      </c>
      <c r="AA78">
        <v>1</v>
      </c>
      <c r="AB78">
        <v>1</v>
      </c>
      <c r="AC78">
        <v>0</v>
      </c>
      <c r="AD78">
        <v>0</v>
      </c>
      <c r="AE78">
        <v>1</v>
      </c>
      <c r="AF78">
        <v>1</v>
      </c>
      <c r="AG78">
        <v>1</v>
      </c>
      <c r="AH78">
        <v>0</v>
      </c>
      <c r="AI78">
        <v>1</v>
      </c>
      <c r="AJ78">
        <v>0</v>
      </c>
      <c r="AK78">
        <v>1</v>
      </c>
      <c r="AL78">
        <v>1</v>
      </c>
      <c r="AM78">
        <v>0</v>
      </c>
      <c r="AN78">
        <v>0</v>
      </c>
      <c r="AO78">
        <v>1</v>
      </c>
      <c r="AP78">
        <v>1</v>
      </c>
      <c r="AQ78">
        <v>1</v>
      </c>
      <c r="AR78">
        <v>0</v>
      </c>
      <c r="AS78">
        <v>0</v>
      </c>
      <c r="AT78">
        <v>1</v>
      </c>
      <c r="AU78">
        <v>1</v>
      </c>
      <c r="AV78">
        <v>1</v>
      </c>
      <c r="AW78">
        <v>1</v>
      </c>
      <c r="AX78">
        <v>1</v>
      </c>
      <c r="AY78">
        <v>1</v>
      </c>
      <c r="AZ78">
        <v>1</v>
      </c>
      <c r="BA78">
        <v>1</v>
      </c>
      <c r="BB78">
        <v>0</v>
      </c>
      <c r="BC78">
        <v>1</v>
      </c>
      <c r="BD78">
        <v>1</v>
      </c>
      <c r="BE78">
        <v>1</v>
      </c>
      <c r="BF78">
        <v>1</v>
      </c>
      <c r="BG78">
        <v>1</v>
      </c>
      <c r="BH78">
        <v>1</v>
      </c>
      <c r="BI78">
        <v>1</v>
      </c>
      <c r="BJ78">
        <v>1</v>
      </c>
      <c r="BK78">
        <v>1</v>
      </c>
      <c r="BL78">
        <v>1</v>
      </c>
      <c r="BM78">
        <v>1</v>
      </c>
      <c r="BN78">
        <v>1</v>
      </c>
      <c r="BO78">
        <v>1</v>
      </c>
      <c r="BP78">
        <v>0</v>
      </c>
      <c r="BQ78">
        <v>0</v>
      </c>
      <c r="BR78">
        <v>1</v>
      </c>
      <c r="BS78">
        <v>1</v>
      </c>
      <c r="BT78">
        <v>1</v>
      </c>
      <c r="BU78">
        <v>1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1</v>
      </c>
      <c r="CB78">
        <v>1</v>
      </c>
      <c r="CC78">
        <v>1</v>
      </c>
      <c r="CD78">
        <v>1</v>
      </c>
      <c r="CE78">
        <v>1</v>
      </c>
      <c r="CF78">
        <v>1</v>
      </c>
      <c r="CG78">
        <v>1</v>
      </c>
      <c r="CH78">
        <v>1</v>
      </c>
      <c r="CI78">
        <v>1</v>
      </c>
      <c r="CJ78">
        <v>1</v>
      </c>
      <c r="CK78">
        <v>1</v>
      </c>
      <c r="CL78">
        <v>1</v>
      </c>
      <c r="CM78">
        <v>1</v>
      </c>
      <c r="CN78">
        <v>1</v>
      </c>
      <c r="CO78">
        <v>1</v>
      </c>
    </row>
    <row r="79" spans="1:93" x14ac:dyDescent="0.35">
      <c r="A79">
        <v>53</v>
      </c>
      <c r="B79" t="s">
        <v>208</v>
      </c>
      <c r="C79" t="s">
        <v>209</v>
      </c>
      <c r="D79">
        <v>1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0</v>
      </c>
      <c r="O79">
        <v>0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1</v>
      </c>
      <c r="AH79">
        <v>1</v>
      </c>
      <c r="AI79">
        <v>1</v>
      </c>
      <c r="AJ79">
        <v>0</v>
      </c>
      <c r="AK79">
        <v>1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1</v>
      </c>
      <c r="AR79">
        <v>1</v>
      </c>
      <c r="AS79">
        <v>1</v>
      </c>
      <c r="AT79">
        <v>1</v>
      </c>
      <c r="AU79">
        <v>1</v>
      </c>
      <c r="AV79">
        <v>1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1</v>
      </c>
      <c r="BO79">
        <v>1</v>
      </c>
      <c r="BP79">
        <v>0</v>
      </c>
      <c r="BQ79">
        <v>1</v>
      </c>
      <c r="BR79">
        <v>1</v>
      </c>
      <c r="BS79">
        <v>1</v>
      </c>
      <c r="BT79">
        <v>1</v>
      </c>
      <c r="BU79">
        <v>1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1</v>
      </c>
      <c r="CE79">
        <v>1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1</v>
      </c>
      <c r="CL79">
        <v>1</v>
      </c>
      <c r="CM79">
        <v>1</v>
      </c>
      <c r="CN79">
        <v>1</v>
      </c>
      <c r="CO79">
        <v>1</v>
      </c>
    </row>
    <row r="80" spans="1:93" x14ac:dyDescent="0.35">
      <c r="A80">
        <v>54</v>
      </c>
      <c r="B80" t="s">
        <v>210</v>
      </c>
      <c r="C80" t="s">
        <v>211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1</v>
      </c>
      <c r="AF80">
        <v>1</v>
      </c>
      <c r="AG80">
        <v>1</v>
      </c>
      <c r="AH80">
        <v>0</v>
      </c>
      <c r="AI80">
        <v>0</v>
      </c>
      <c r="AJ80">
        <v>1</v>
      </c>
      <c r="AK80">
        <v>1</v>
      </c>
      <c r="AL80">
        <v>1</v>
      </c>
      <c r="AM80">
        <v>1</v>
      </c>
      <c r="AN80">
        <v>1</v>
      </c>
      <c r="AO80">
        <v>1</v>
      </c>
      <c r="AP80">
        <v>1</v>
      </c>
      <c r="AQ80">
        <v>1</v>
      </c>
      <c r="AR80">
        <v>0</v>
      </c>
      <c r="AS80">
        <v>0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1</v>
      </c>
      <c r="BP80">
        <v>0</v>
      </c>
      <c r="BQ80">
        <v>0</v>
      </c>
      <c r="BR80">
        <v>1</v>
      </c>
      <c r="BS80">
        <v>1</v>
      </c>
      <c r="BT80">
        <v>1</v>
      </c>
      <c r="BU80">
        <v>1</v>
      </c>
      <c r="BV80">
        <v>1</v>
      </c>
      <c r="BW80">
        <v>1</v>
      </c>
      <c r="BX80">
        <v>1</v>
      </c>
      <c r="BY80">
        <v>1</v>
      </c>
      <c r="BZ80">
        <v>1</v>
      </c>
      <c r="CA80">
        <v>1</v>
      </c>
      <c r="CB80">
        <v>1</v>
      </c>
      <c r="CC80">
        <v>1</v>
      </c>
      <c r="CD80">
        <v>1</v>
      </c>
      <c r="CE80">
        <v>1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</row>
    <row r="81" spans="1:93" x14ac:dyDescent="0.35">
      <c r="A81" s="16" t="s">
        <v>212</v>
      </c>
      <c r="H81" t="s">
        <v>122</v>
      </c>
    </row>
    <row r="82" spans="1:93" x14ac:dyDescent="0.35">
      <c r="A82">
        <v>55</v>
      </c>
      <c r="B82" t="s">
        <v>213</v>
      </c>
      <c r="C82" t="s">
        <v>214</v>
      </c>
      <c r="D82">
        <v>0</v>
      </c>
      <c r="E82">
        <v>0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0</v>
      </c>
      <c r="T82">
        <v>0</v>
      </c>
      <c r="U82">
        <v>0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0</v>
      </c>
      <c r="AD82">
        <v>0</v>
      </c>
      <c r="AE82">
        <v>0</v>
      </c>
      <c r="AF82">
        <v>1</v>
      </c>
      <c r="AG82">
        <v>1</v>
      </c>
      <c r="AH82">
        <v>1</v>
      </c>
      <c r="AI82">
        <v>1</v>
      </c>
      <c r="AJ82">
        <v>1</v>
      </c>
      <c r="AK82">
        <v>1</v>
      </c>
      <c r="AL82">
        <v>1</v>
      </c>
      <c r="AM82">
        <v>0</v>
      </c>
      <c r="AN82">
        <v>1</v>
      </c>
      <c r="AO82">
        <v>0</v>
      </c>
      <c r="AP82">
        <v>1</v>
      </c>
      <c r="AQ82">
        <v>1</v>
      </c>
      <c r="AR82">
        <v>1</v>
      </c>
      <c r="AS82">
        <v>1</v>
      </c>
      <c r="AT82">
        <v>1</v>
      </c>
      <c r="AU82">
        <v>1</v>
      </c>
      <c r="AV82">
        <v>1</v>
      </c>
      <c r="AW82">
        <v>1</v>
      </c>
      <c r="AX82">
        <v>1</v>
      </c>
      <c r="AY82">
        <v>1</v>
      </c>
      <c r="AZ82">
        <v>1</v>
      </c>
      <c r="BA82">
        <v>1</v>
      </c>
      <c r="BB82">
        <v>0</v>
      </c>
      <c r="BC82">
        <v>1</v>
      </c>
      <c r="BD82">
        <v>1</v>
      </c>
      <c r="BE82">
        <v>1</v>
      </c>
      <c r="BF82">
        <v>1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1</v>
      </c>
      <c r="BS82">
        <v>0</v>
      </c>
      <c r="BT82">
        <v>1</v>
      </c>
      <c r="BU82">
        <v>1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1</v>
      </c>
      <c r="CD82">
        <v>1</v>
      </c>
      <c r="CE82">
        <v>1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1</v>
      </c>
      <c r="CL82">
        <v>1</v>
      </c>
      <c r="CM82">
        <v>1</v>
      </c>
      <c r="CN82">
        <v>1</v>
      </c>
      <c r="CO82">
        <v>1</v>
      </c>
    </row>
    <row r="83" spans="1:93" x14ac:dyDescent="0.35">
      <c r="A83" s="16" t="s">
        <v>215</v>
      </c>
    </row>
    <row r="84" spans="1:93" x14ac:dyDescent="0.35">
      <c r="A84">
        <v>56</v>
      </c>
      <c r="B84" t="s">
        <v>216</v>
      </c>
      <c r="C84" t="s">
        <v>217</v>
      </c>
      <c r="D84">
        <v>0</v>
      </c>
      <c r="E84">
        <v>0</v>
      </c>
      <c r="F84">
        <v>1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0</v>
      </c>
      <c r="U84">
        <v>1</v>
      </c>
      <c r="V84">
        <v>1</v>
      </c>
      <c r="W84">
        <v>1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1</v>
      </c>
      <c r="AG84">
        <v>1</v>
      </c>
      <c r="AH84">
        <v>0</v>
      </c>
      <c r="AI84">
        <v>1</v>
      </c>
      <c r="AJ84">
        <v>1</v>
      </c>
      <c r="AK84">
        <v>1</v>
      </c>
      <c r="AL84">
        <v>1</v>
      </c>
      <c r="AM84">
        <v>0</v>
      </c>
      <c r="AN84">
        <v>1</v>
      </c>
      <c r="AO84">
        <v>0</v>
      </c>
      <c r="AP84">
        <v>1</v>
      </c>
      <c r="AQ84">
        <v>1</v>
      </c>
      <c r="AR84">
        <v>0</v>
      </c>
      <c r="AS84">
        <v>0</v>
      </c>
      <c r="AT84">
        <v>1</v>
      </c>
      <c r="AU84">
        <v>1</v>
      </c>
      <c r="AV84">
        <v>1</v>
      </c>
      <c r="AW84">
        <v>1</v>
      </c>
      <c r="AX84">
        <v>1</v>
      </c>
      <c r="AY84">
        <v>1</v>
      </c>
      <c r="AZ84">
        <v>1</v>
      </c>
      <c r="BA84">
        <v>1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1</v>
      </c>
      <c r="BH84">
        <v>1</v>
      </c>
      <c r="BI84">
        <v>1</v>
      </c>
      <c r="BJ84">
        <v>1</v>
      </c>
      <c r="BK84">
        <v>1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1</v>
      </c>
      <c r="BS84">
        <v>1</v>
      </c>
      <c r="BT84">
        <v>1</v>
      </c>
      <c r="BU84">
        <v>1</v>
      </c>
      <c r="BV84">
        <v>1</v>
      </c>
      <c r="BW84">
        <v>1</v>
      </c>
      <c r="BX84">
        <v>1</v>
      </c>
      <c r="BY84">
        <v>1</v>
      </c>
      <c r="BZ84">
        <v>1</v>
      </c>
      <c r="CA84">
        <v>0</v>
      </c>
      <c r="CB84">
        <v>0</v>
      </c>
      <c r="CC84">
        <v>0</v>
      </c>
      <c r="CD84">
        <v>1</v>
      </c>
      <c r="CE84">
        <v>1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1</v>
      </c>
      <c r="CL84">
        <v>1</v>
      </c>
      <c r="CM84">
        <v>1</v>
      </c>
      <c r="CN84">
        <v>1</v>
      </c>
      <c r="CO84">
        <v>1</v>
      </c>
    </row>
    <row r="85" spans="1:93" x14ac:dyDescent="0.35">
      <c r="A85" s="16" t="s">
        <v>218</v>
      </c>
    </row>
    <row r="86" spans="1:93" x14ac:dyDescent="0.35">
      <c r="A86">
        <v>57</v>
      </c>
      <c r="B86" t="s">
        <v>219</v>
      </c>
      <c r="C86" t="s">
        <v>220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</row>
    <row r="87" spans="1:93" x14ac:dyDescent="0.35">
      <c r="A87">
        <v>58</v>
      </c>
      <c r="B87" t="s">
        <v>221</v>
      </c>
      <c r="C87" t="s">
        <v>222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</row>
    <row r="88" spans="1:93" x14ac:dyDescent="0.35">
      <c r="A88" s="16" t="s">
        <v>223</v>
      </c>
    </row>
    <row r="89" spans="1:93" x14ac:dyDescent="0.35">
      <c r="A89">
        <v>59</v>
      </c>
      <c r="B89" t="s">
        <v>224</v>
      </c>
      <c r="C89" t="s">
        <v>225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1</v>
      </c>
      <c r="BW89">
        <v>1</v>
      </c>
      <c r="BX89">
        <v>1</v>
      </c>
      <c r="BY89">
        <v>1</v>
      </c>
      <c r="BZ89">
        <v>1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</row>
    <row r="90" spans="1:93" x14ac:dyDescent="0.35">
      <c r="A90" s="16" t="s">
        <v>226</v>
      </c>
    </row>
    <row r="91" spans="1:93" x14ac:dyDescent="0.35">
      <c r="A91" s="16" t="s">
        <v>227</v>
      </c>
    </row>
    <row r="92" spans="1:93" x14ac:dyDescent="0.35">
      <c r="A92">
        <v>60</v>
      </c>
      <c r="B92" t="s">
        <v>228</v>
      </c>
      <c r="C92" t="s">
        <v>229</v>
      </c>
      <c r="D92">
        <v>0</v>
      </c>
      <c r="E92">
        <v>0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</row>
    <row r="93" spans="1:93" x14ac:dyDescent="0.35">
      <c r="A93">
        <v>61</v>
      </c>
      <c r="B93" t="s">
        <v>230</v>
      </c>
      <c r="C93" t="s">
        <v>231</v>
      </c>
      <c r="D93">
        <v>0</v>
      </c>
      <c r="E93">
        <v>0</v>
      </c>
      <c r="F93">
        <v>1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</row>
    <row r="94" spans="1:93" x14ac:dyDescent="0.35">
      <c r="A94" s="16" t="s">
        <v>232</v>
      </c>
      <c r="CA94">
        <v>0</v>
      </c>
      <c r="CB94">
        <v>0</v>
      </c>
    </row>
    <row r="95" spans="1:93" x14ac:dyDescent="0.35">
      <c r="A95">
        <v>62</v>
      </c>
      <c r="B95" t="s">
        <v>233</v>
      </c>
      <c r="C95" t="s">
        <v>234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0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</v>
      </c>
      <c r="AH95">
        <v>1</v>
      </c>
      <c r="AI95">
        <v>1</v>
      </c>
      <c r="AJ95">
        <v>1</v>
      </c>
      <c r="AK95">
        <v>1</v>
      </c>
      <c r="AL95">
        <v>1</v>
      </c>
      <c r="AM95">
        <v>1</v>
      </c>
      <c r="AN95">
        <v>1</v>
      </c>
      <c r="AO95">
        <v>0</v>
      </c>
      <c r="AP95">
        <v>1</v>
      </c>
      <c r="AQ95">
        <v>1</v>
      </c>
      <c r="AR95">
        <v>1</v>
      </c>
      <c r="AS95">
        <v>1</v>
      </c>
      <c r="AT95">
        <v>1</v>
      </c>
      <c r="AU95">
        <v>1</v>
      </c>
      <c r="AV95">
        <v>1</v>
      </c>
      <c r="AW95">
        <v>1</v>
      </c>
      <c r="AX95">
        <v>1</v>
      </c>
      <c r="AY95">
        <v>1</v>
      </c>
      <c r="AZ95">
        <v>1</v>
      </c>
      <c r="BA95">
        <v>1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1</v>
      </c>
      <c r="BO95">
        <v>0</v>
      </c>
      <c r="BP95">
        <v>0</v>
      </c>
      <c r="BQ95">
        <v>0</v>
      </c>
      <c r="BR95">
        <v>1</v>
      </c>
      <c r="BS95">
        <v>0</v>
      </c>
      <c r="BT95">
        <v>1</v>
      </c>
      <c r="BU95">
        <v>1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</row>
    <row r="96" spans="1:93" x14ac:dyDescent="0.35">
      <c r="A96" s="16" t="s">
        <v>235</v>
      </c>
    </row>
    <row r="97" spans="1:93" x14ac:dyDescent="0.35">
      <c r="A97">
        <v>63</v>
      </c>
      <c r="B97" t="s">
        <v>236</v>
      </c>
      <c r="C97" t="s">
        <v>237</v>
      </c>
      <c r="D97">
        <v>0</v>
      </c>
      <c r="E97">
        <v>0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0</v>
      </c>
      <c r="O97">
        <v>0</v>
      </c>
      <c r="P97">
        <v>0</v>
      </c>
      <c r="Q97">
        <v>0</v>
      </c>
      <c r="R97">
        <v>1</v>
      </c>
      <c r="S97">
        <v>0</v>
      </c>
      <c r="T97">
        <v>0</v>
      </c>
      <c r="U97">
        <v>0</v>
      </c>
      <c r="V97">
        <v>1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1</v>
      </c>
      <c r="AH97">
        <v>1</v>
      </c>
      <c r="AI97">
        <v>1</v>
      </c>
      <c r="AJ97">
        <v>0</v>
      </c>
      <c r="AK97">
        <v>0</v>
      </c>
      <c r="AL97">
        <v>0</v>
      </c>
      <c r="AM97">
        <v>0</v>
      </c>
      <c r="AN97">
        <v>1</v>
      </c>
      <c r="AO97">
        <v>0</v>
      </c>
      <c r="AP97">
        <v>1</v>
      </c>
      <c r="AQ97">
        <v>1</v>
      </c>
      <c r="AR97">
        <v>1</v>
      </c>
      <c r="AS97">
        <v>0</v>
      </c>
      <c r="AT97">
        <v>1</v>
      </c>
      <c r="AU97">
        <v>1</v>
      </c>
      <c r="AV97">
        <v>1</v>
      </c>
      <c r="AW97">
        <v>0</v>
      </c>
      <c r="AX97">
        <v>0</v>
      </c>
      <c r="AY97">
        <v>0</v>
      </c>
      <c r="AZ97">
        <v>0</v>
      </c>
      <c r="BA97">
        <v>1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1</v>
      </c>
      <c r="BU97">
        <v>1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</row>
    <row r="98" spans="1:93" x14ac:dyDescent="0.35">
      <c r="A98" s="16" t="s">
        <v>238</v>
      </c>
    </row>
    <row r="99" spans="1:93" x14ac:dyDescent="0.35">
      <c r="A99">
        <v>64</v>
      </c>
      <c r="B99" t="s">
        <v>239</v>
      </c>
      <c r="C99" t="s">
        <v>240</v>
      </c>
      <c r="D99">
        <v>1</v>
      </c>
      <c r="E99">
        <v>0</v>
      </c>
      <c r="F99">
        <v>1</v>
      </c>
      <c r="G99">
        <v>1</v>
      </c>
      <c r="H99">
        <v>1</v>
      </c>
      <c r="I99">
        <v>0</v>
      </c>
      <c r="J99">
        <v>0</v>
      </c>
      <c r="K99">
        <v>0</v>
      </c>
      <c r="L99">
        <v>0</v>
      </c>
      <c r="M99">
        <v>1</v>
      </c>
      <c r="N99">
        <v>0</v>
      </c>
      <c r="O99">
        <v>0</v>
      </c>
      <c r="P99">
        <v>1</v>
      </c>
      <c r="Q99">
        <v>1</v>
      </c>
      <c r="R99">
        <v>0</v>
      </c>
      <c r="S99">
        <v>0</v>
      </c>
      <c r="T99">
        <v>0</v>
      </c>
      <c r="U99">
        <v>0</v>
      </c>
      <c r="V99">
        <v>1</v>
      </c>
      <c r="W99">
        <v>1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1</v>
      </c>
      <c r="AH99">
        <v>1</v>
      </c>
      <c r="AI99">
        <v>0</v>
      </c>
      <c r="AJ99">
        <v>1</v>
      </c>
      <c r="AK99">
        <v>0</v>
      </c>
      <c r="AL99">
        <v>1</v>
      </c>
      <c r="AM99">
        <v>1</v>
      </c>
      <c r="AN99">
        <v>1</v>
      </c>
      <c r="AO99">
        <v>0</v>
      </c>
      <c r="AP99">
        <v>1</v>
      </c>
      <c r="AQ99">
        <v>1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1</v>
      </c>
      <c r="BO99">
        <v>0</v>
      </c>
      <c r="BP99">
        <v>0</v>
      </c>
      <c r="BQ99">
        <v>0</v>
      </c>
      <c r="BR99">
        <v>1</v>
      </c>
      <c r="BS99">
        <v>0</v>
      </c>
      <c r="BT99">
        <v>1</v>
      </c>
      <c r="BU99">
        <v>1</v>
      </c>
      <c r="BV99">
        <v>1</v>
      </c>
      <c r="BW99">
        <v>1</v>
      </c>
      <c r="BX99">
        <v>1</v>
      </c>
      <c r="BY99">
        <v>1</v>
      </c>
      <c r="BZ99">
        <v>1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</row>
    <row r="100" spans="1:93" x14ac:dyDescent="0.35">
      <c r="A100" s="16" t="s">
        <v>241</v>
      </c>
    </row>
    <row r="101" spans="1:93" x14ac:dyDescent="0.35">
      <c r="A101">
        <v>65</v>
      </c>
      <c r="B101" t="s">
        <v>242</v>
      </c>
      <c r="C101" t="s">
        <v>243</v>
      </c>
      <c r="D101">
        <v>1</v>
      </c>
      <c r="E101">
        <v>0</v>
      </c>
      <c r="F101">
        <v>1</v>
      </c>
      <c r="G101">
        <v>1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1</v>
      </c>
      <c r="N101">
        <v>1</v>
      </c>
      <c r="O101">
        <v>0</v>
      </c>
      <c r="P101">
        <v>1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1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</v>
      </c>
      <c r="AH101">
        <v>1</v>
      </c>
      <c r="AI101">
        <v>1</v>
      </c>
      <c r="AJ101">
        <v>1</v>
      </c>
      <c r="AK101">
        <v>1</v>
      </c>
      <c r="AL101">
        <v>1</v>
      </c>
      <c r="AM101">
        <v>0</v>
      </c>
      <c r="AN101">
        <v>1</v>
      </c>
      <c r="AO101">
        <v>0</v>
      </c>
      <c r="AP101">
        <v>1</v>
      </c>
      <c r="AQ101">
        <v>1</v>
      </c>
      <c r="AR101">
        <v>1</v>
      </c>
      <c r="AS101">
        <v>1</v>
      </c>
      <c r="AT101">
        <v>1</v>
      </c>
      <c r="AU101">
        <v>1</v>
      </c>
      <c r="AV101">
        <v>1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1</v>
      </c>
      <c r="BO101">
        <v>0</v>
      </c>
      <c r="BP101">
        <v>0</v>
      </c>
      <c r="BQ101">
        <v>0</v>
      </c>
      <c r="BR101">
        <v>1</v>
      </c>
      <c r="BS101">
        <v>0</v>
      </c>
      <c r="BT101">
        <v>1</v>
      </c>
      <c r="BU101">
        <v>1</v>
      </c>
      <c r="BV101">
        <v>1</v>
      </c>
      <c r="BW101">
        <v>1</v>
      </c>
      <c r="BX101">
        <v>1</v>
      </c>
      <c r="BY101">
        <v>1</v>
      </c>
      <c r="BZ101">
        <v>1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</row>
    <row r="102" spans="1:93" x14ac:dyDescent="0.35">
      <c r="A102" s="16" t="s">
        <v>244</v>
      </c>
    </row>
    <row r="103" spans="1:93" x14ac:dyDescent="0.35">
      <c r="A103">
        <v>66</v>
      </c>
      <c r="B103" t="s">
        <v>245</v>
      </c>
      <c r="C103" t="s">
        <v>246</v>
      </c>
      <c r="D103">
        <v>0</v>
      </c>
      <c r="E103">
        <v>0</v>
      </c>
      <c r="F103">
        <v>0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1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1</v>
      </c>
      <c r="AG103">
        <v>1</v>
      </c>
      <c r="AH103">
        <v>0</v>
      </c>
      <c r="AI103">
        <v>1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1</v>
      </c>
      <c r="AQ103">
        <v>1</v>
      </c>
      <c r="AR103">
        <v>0</v>
      </c>
      <c r="AS103">
        <v>0</v>
      </c>
      <c r="AT103">
        <v>1</v>
      </c>
      <c r="AU103">
        <v>1</v>
      </c>
      <c r="AV103">
        <v>1</v>
      </c>
      <c r="AW103">
        <v>1</v>
      </c>
      <c r="AX103">
        <v>1</v>
      </c>
      <c r="AY103">
        <v>1</v>
      </c>
      <c r="AZ103">
        <v>1</v>
      </c>
      <c r="BA103">
        <v>1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</row>
    <row r="104" spans="1:93" x14ac:dyDescent="0.35">
      <c r="A104" s="16" t="s">
        <v>247</v>
      </c>
    </row>
    <row r="105" spans="1:93" x14ac:dyDescent="0.35">
      <c r="A105">
        <v>67</v>
      </c>
      <c r="B105" t="s">
        <v>248</v>
      </c>
      <c r="C105" t="s">
        <v>249</v>
      </c>
      <c r="D105">
        <v>0</v>
      </c>
      <c r="E105">
        <v>0</v>
      </c>
      <c r="F105">
        <v>1</v>
      </c>
      <c r="G105">
        <v>1</v>
      </c>
      <c r="H105">
        <v>1</v>
      </c>
      <c r="I105">
        <v>0</v>
      </c>
      <c r="J105">
        <v>1</v>
      </c>
      <c r="K105">
        <v>1</v>
      </c>
      <c r="L105">
        <v>1</v>
      </c>
      <c r="M105">
        <v>1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1</v>
      </c>
      <c r="AG105">
        <v>1</v>
      </c>
      <c r="AH105">
        <v>0</v>
      </c>
      <c r="AI105">
        <v>1</v>
      </c>
      <c r="AJ105">
        <v>1</v>
      </c>
      <c r="AK105">
        <v>1</v>
      </c>
      <c r="AL105">
        <v>1</v>
      </c>
      <c r="AM105">
        <v>0</v>
      </c>
      <c r="AN105">
        <v>1</v>
      </c>
      <c r="AO105">
        <v>0</v>
      </c>
      <c r="AP105">
        <v>1</v>
      </c>
      <c r="AQ105">
        <v>1</v>
      </c>
      <c r="AR105">
        <v>0</v>
      </c>
      <c r="AS105">
        <v>1</v>
      </c>
      <c r="AT105">
        <v>1</v>
      </c>
      <c r="AU105">
        <v>1</v>
      </c>
      <c r="AV105">
        <v>1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</row>
    <row r="106" spans="1:93" x14ac:dyDescent="0.35">
      <c r="A106" s="16" t="s">
        <v>250</v>
      </c>
    </row>
    <row r="107" spans="1:93" x14ac:dyDescent="0.35">
      <c r="A107">
        <v>68</v>
      </c>
      <c r="B107" t="s">
        <v>251</v>
      </c>
      <c r="C107" t="s">
        <v>252</v>
      </c>
      <c r="D107">
        <v>0</v>
      </c>
      <c r="E107">
        <v>0</v>
      </c>
      <c r="F107">
        <v>1</v>
      </c>
      <c r="G107">
        <v>1</v>
      </c>
      <c r="H107">
        <v>1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</v>
      </c>
      <c r="T107">
        <v>1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1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</row>
    <row r="108" spans="1:93" x14ac:dyDescent="0.35">
      <c r="A108">
        <v>69</v>
      </c>
      <c r="B108" t="s">
        <v>253</v>
      </c>
      <c r="C108" t="s">
        <v>254</v>
      </c>
      <c r="D108">
        <v>0</v>
      </c>
      <c r="E108">
        <v>0</v>
      </c>
      <c r="F108">
        <v>1</v>
      </c>
      <c r="G108">
        <v>1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1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</row>
    <row r="109" spans="1:93" x14ac:dyDescent="0.35">
      <c r="A109">
        <v>70</v>
      </c>
      <c r="B109" t="s">
        <v>255</v>
      </c>
      <c r="C109" t="s">
        <v>256</v>
      </c>
      <c r="D109">
        <v>0</v>
      </c>
      <c r="E109">
        <v>0</v>
      </c>
      <c r="F109">
        <v>1</v>
      </c>
      <c r="G109">
        <v>1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</row>
    <row r="110" spans="1:93" x14ac:dyDescent="0.35">
      <c r="A110" s="16" t="s">
        <v>257</v>
      </c>
    </row>
    <row r="111" spans="1:93" x14ac:dyDescent="0.35">
      <c r="A111">
        <v>71</v>
      </c>
      <c r="B111" t="s">
        <v>258</v>
      </c>
      <c r="C111" t="s">
        <v>259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0</v>
      </c>
      <c r="O111">
        <v>0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</row>
    <row r="112" spans="1:93" x14ac:dyDescent="0.35">
      <c r="A112" s="16" t="s">
        <v>260</v>
      </c>
    </row>
    <row r="113" spans="1:93" x14ac:dyDescent="0.35">
      <c r="A113" s="16" t="s">
        <v>261</v>
      </c>
    </row>
    <row r="114" spans="1:93" x14ac:dyDescent="0.35">
      <c r="A114">
        <v>72</v>
      </c>
      <c r="B114" t="s">
        <v>262</v>
      </c>
      <c r="C114" t="s">
        <v>263</v>
      </c>
      <c r="D114">
        <v>0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1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>
        <v>0</v>
      </c>
      <c r="AI114">
        <v>1</v>
      </c>
      <c r="AJ114">
        <v>1</v>
      </c>
      <c r="AK114">
        <v>0</v>
      </c>
      <c r="AL114">
        <v>1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0</v>
      </c>
      <c r="AS114">
        <v>0</v>
      </c>
      <c r="AT114">
        <v>1</v>
      </c>
      <c r="AU114">
        <v>1</v>
      </c>
      <c r="AV114">
        <v>1</v>
      </c>
      <c r="AW114">
        <v>0</v>
      </c>
      <c r="AX114">
        <v>1</v>
      </c>
      <c r="AY114">
        <v>1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  <c r="BF114">
        <v>1</v>
      </c>
      <c r="BG114">
        <v>1</v>
      </c>
      <c r="BH114">
        <v>1</v>
      </c>
      <c r="BI114">
        <v>1</v>
      </c>
      <c r="BJ114">
        <v>1</v>
      </c>
      <c r="BK114">
        <v>1</v>
      </c>
      <c r="BL114">
        <v>0</v>
      </c>
      <c r="BM114">
        <v>0</v>
      </c>
      <c r="BN114">
        <v>1</v>
      </c>
      <c r="BO114">
        <v>1</v>
      </c>
      <c r="BP114">
        <v>1</v>
      </c>
      <c r="BQ114">
        <v>1</v>
      </c>
      <c r="BR114">
        <v>1</v>
      </c>
      <c r="BS114">
        <v>0</v>
      </c>
      <c r="BT114">
        <v>1</v>
      </c>
      <c r="BU114">
        <v>1</v>
      </c>
      <c r="BV114">
        <v>1</v>
      </c>
      <c r="BW114">
        <v>1</v>
      </c>
      <c r="BX114">
        <v>1</v>
      </c>
      <c r="BY114">
        <v>1</v>
      </c>
      <c r="BZ114">
        <v>1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1</v>
      </c>
      <c r="CL114">
        <v>1</v>
      </c>
      <c r="CM114">
        <v>1</v>
      </c>
      <c r="CN114">
        <v>1</v>
      </c>
      <c r="CO114">
        <v>1</v>
      </c>
    </row>
    <row r="115" spans="1:93" x14ac:dyDescent="0.35">
      <c r="A115">
        <v>73</v>
      </c>
      <c r="B115" t="s">
        <v>264</v>
      </c>
      <c r="C115" t="s">
        <v>265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0</v>
      </c>
      <c r="O115">
        <v>0</v>
      </c>
      <c r="P115">
        <v>0</v>
      </c>
      <c r="Q115">
        <v>1</v>
      </c>
      <c r="R115">
        <v>1</v>
      </c>
      <c r="S115">
        <v>0</v>
      </c>
      <c r="T115">
        <v>0</v>
      </c>
      <c r="U115">
        <v>0</v>
      </c>
      <c r="V115">
        <v>1</v>
      </c>
      <c r="W115">
        <v>1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1</v>
      </c>
      <c r="AE115">
        <v>0</v>
      </c>
      <c r="AF115">
        <v>1</v>
      </c>
      <c r="AG115">
        <v>1</v>
      </c>
      <c r="AH115">
        <v>0</v>
      </c>
      <c r="AI115">
        <v>1</v>
      </c>
      <c r="AJ115">
        <v>0</v>
      </c>
      <c r="AK115">
        <v>0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0</v>
      </c>
      <c r="AS115">
        <v>0</v>
      </c>
      <c r="AT115">
        <v>1</v>
      </c>
      <c r="AU115">
        <v>1</v>
      </c>
      <c r="AV115">
        <v>1</v>
      </c>
      <c r="AW115">
        <v>0</v>
      </c>
      <c r="AX115">
        <v>1</v>
      </c>
      <c r="AY115">
        <v>1</v>
      </c>
      <c r="AZ115">
        <v>1</v>
      </c>
      <c r="BA115">
        <v>1</v>
      </c>
      <c r="BB115">
        <v>0</v>
      </c>
      <c r="BC115">
        <v>1</v>
      </c>
      <c r="BD115">
        <v>1</v>
      </c>
      <c r="BE115">
        <v>1</v>
      </c>
      <c r="BF115">
        <v>1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1</v>
      </c>
      <c r="BP115">
        <v>1</v>
      </c>
      <c r="BQ115">
        <v>1</v>
      </c>
      <c r="BR115">
        <v>1</v>
      </c>
      <c r="BS115">
        <v>0</v>
      </c>
      <c r="BT115">
        <v>1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1</v>
      </c>
      <c r="CG115">
        <v>1</v>
      </c>
      <c r="CH115">
        <v>1</v>
      </c>
      <c r="CI115">
        <v>1</v>
      </c>
      <c r="CJ115">
        <v>1</v>
      </c>
      <c r="CK115">
        <v>0</v>
      </c>
      <c r="CL115">
        <v>0</v>
      </c>
      <c r="CM115">
        <v>0</v>
      </c>
      <c r="CN115">
        <v>0</v>
      </c>
      <c r="CO115">
        <v>0</v>
      </c>
    </row>
    <row r="116" spans="1:93" x14ac:dyDescent="0.35">
      <c r="A116" s="16" t="s">
        <v>266</v>
      </c>
    </row>
    <row r="117" spans="1:93" x14ac:dyDescent="0.35">
      <c r="A117">
        <v>74</v>
      </c>
      <c r="B117" t="s">
        <v>267</v>
      </c>
      <c r="C117" t="s">
        <v>268</v>
      </c>
      <c r="D117">
        <v>0</v>
      </c>
      <c r="E117">
        <v>0</v>
      </c>
      <c r="F117">
        <v>1</v>
      </c>
      <c r="G117">
        <v>1</v>
      </c>
      <c r="H117">
        <v>1</v>
      </c>
      <c r="I117">
        <v>0</v>
      </c>
      <c r="J117">
        <v>0</v>
      </c>
      <c r="K117">
        <v>1</v>
      </c>
      <c r="L117">
        <v>0</v>
      </c>
      <c r="M117">
        <v>0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0</v>
      </c>
      <c r="T117">
        <v>0</v>
      </c>
      <c r="U117">
        <v>0</v>
      </c>
      <c r="V117">
        <v>1</v>
      </c>
      <c r="W117">
        <v>1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1</v>
      </c>
      <c r="AG117">
        <v>1</v>
      </c>
      <c r="AH117">
        <v>0</v>
      </c>
      <c r="AI117">
        <v>1</v>
      </c>
      <c r="AJ117">
        <v>1</v>
      </c>
      <c r="AK117">
        <v>1</v>
      </c>
      <c r="AL117">
        <v>1</v>
      </c>
      <c r="AM117">
        <v>0</v>
      </c>
      <c r="AN117">
        <v>0</v>
      </c>
      <c r="AO117">
        <v>0</v>
      </c>
      <c r="AP117">
        <v>0</v>
      </c>
      <c r="AQ117">
        <v>1</v>
      </c>
      <c r="AR117">
        <v>0</v>
      </c>
      <c r="AS117">
        <v>0</v>
      </c>
      <c r="AT117">
        <v>1</v>
      </c>
      <c r="AU117">
        <v>1</v>
      </c>
      <c r="AV117">
        <v>1</v>
      </c>
      <c r="AW117">
        <v>1</v>
      </c>
      <c r="AX117">
        <v>1</v>
      </c>
      <c r="AY117">
        <v>1</v>
      </c>
      <c r="AZ117">
        <v>1</v>
      </c>
      <c r="BA117">
        <v>1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1</v>
      </c>
      <c r="BH117">
        <v>1</v>
      </c>
      <c r="BI117">
        <v>1</v>
      </c>
      <c r="BJ117">
        <v>1</v>
      </c>
      <c r="BK117">
        <v>1</v>
      </c>
      <c r="BL117">
        <v>0</v>
      </c>
      <c r="BM117">
        <v>0</v>
      </c>
      <c r="BN117">
        <v>0</v>
      </c>
      <c r="BP117">
        <v>1</v>
      </c>
      <c r="BQ117">
        <v>1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1</v>
      </c>
      <c r="CB117">
        <v>1</v>
      </c>
      <c r="CC117">
        <v>0</v>
      </c>
      <c r="CD117">
        <v>1</v>
      </c>
      <c r="CE117">
        <v>1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</row>
    <row r="118" spans="1:93" x14ac:dyDescent="0.35">
      <c r="A118">
        <v>75</v>
      </c>
      <c r="B118" t="s">
        <v>269</v>
      </c>
      <c r="C118" t="s">
        <v>270</v>
      </c>
      <c r="D118">
        <v>0</v>
      </c>
      <c r="E118">
        <v>0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1</v>
      </c>
      <c r="AB118">
        <v>1</v>
      </c>
      <c r="AC118">
        <v>0</v>
      </c>
      <c r="AD118">
        <v>0</v>
      </c>
      <c r="AE118">
        <v>1</v>
      </c>
      <c r="AF118">
        <v>1</v>
      </c>
      <c r="AG118">
        <v>1</v>
      </c>
      <c r="AH118">
        <v>1</v>
      </c>
      <c r="AI118">
        <v>1</v>
      </c>
      <c r="AJ118">
        <v>1</v>
      </c>
      <c r="AK118">
        <v>1</v>
      </c>
      <c r="AL118">
        <v>1</v>
      </c>
      <c r="AM118">
        <v>0</v>
      </c>
      <c r="AN118">
        <v>0</v>
      </c>
      <c r="AO118">
        <v>0</v>
      </c>
      <c r="AP118">
        <v>1</v>
      </c>
      <c r="AQ118">
        <v>1</v>
      </c>
      <c r="AR118">
        <v>1</v>
      </c>
      <c r="AS118">
        <v>1</v>
      </c>
      <c r="AT118">
        <v>1</v>
      </c>
      <c r="AU118">
        <v>1</v>
      </c>
      <c r="AV118">
        <v>1</v>
      </c>
      <c r="AW118">
        <v>1</v>
      </c>
      <c r="AX118">
        <v>1</v>
      </c>
      <c r="AY118">
        <v>1</v>
      </c>
      <c r="AZ118">
        <v>1</v>
      </c>
      <c r="BA118">
        <v>1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1</v>
      </c>
      <c r="BO118">
        <v>1</v>
      </c>
      <c r="BP118">
        <v>1</v>
      </c>
      <c r="BQ118">
        <v>1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1</v>
      </c>
      <c r="CD118">
        <v>1</v>
      </c>
      <c r="CE118">
        <v>1</v>
      </c>
      <c r="CF118">
        <v>1</v>
      </c>
      <c r="CG118">
        <v>1</v>
      </c>
      <c r="CH118">
        <v>1</v>
      </c>
      <c r="CI118">
        <v>1</v>
      </c>
      <c r="CJ118">
        <v>1</v>
      </c>
      <c r="CK118">
        <v>0</v>
      </c>
      <c r="CL118">
        <v>0</v>
      </c>
      <c r="CM118">
        <v>0</v>
      </c>
      <c r="CN118">
        <v>0</v>
      </c>
      <c r="CO118">
        <v>0</v>
      </c>
    </row>
    <row r="119" spans="1:93" x14ac:dyDescent="0.35">
      <c r="A119">
        <v>76</v>
      </c>
      <c r="B119" t="s">
        <v>271</v>
      </c>
      <c r="C119" t="s">
        <v>272</v>
      </c>
      <c r="D119">
        <v>0</v>
      </c>
      <c r="E119">
        <v>0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0</v>
      </c>
      <c r="M119">
        <v>1</v>
      </c>
      <c r="N119">
        <v>0</v>
      </c>
      <c r="O119">
        <v>1</v>
      </c>
      <c r="P119">
        <v>1</v>
      </c>
      <c r="Q119">
        <v>1</v>
      </c>
      <c r="R119">
        <v>1</v>
      </c>
      <c r="S119">
        <v>0</v>
      </c>
      <c r="T119">
        <v>0</v>
      </c>
      <c r="U119">
        <v>0</v>
      </c>
      <c r="V119">
        <v>1</v>
      </c>
      <c r="W119">
        <v>1</v>
      </c>
      <c r="X119">
        <v>0</v>
      </c>
      <c r="Y119">
        <v>0</v>
      </c>
      <c r="Z119">
        <v>0</v>
      </c>
      <c r="AA119">
        <v>1</v>
      </c>
      <c r="AB119">
        <v>1</v>
      </c>
      <c r="AC119">
        <v>0</v>
      </c>
      <c r="AD119">
        <v>0</v>
      </c>
      <c r="AE119">
        <v>1</v>
      </c>
      <c r="AF119">
        <v>1</v>
      </c>
      <c r="AG119">
        <v>1</v>
      </c>
      <c r="AH119">
        <v>1</v>
      </c>
      <c r="AI119">
        <v>1</v>
      </c>
      <c r="AJ119">
        <v>1</v>
      </c>
      <c r="AK119">
        <v>1</v>
      </c>
      <c r="AL119">
        <v>1</v>
      </c>
      <c r="AM119">
        <v>1</v>
      </c>
      <c r="AN119">
        <v>1</v>
      </c>
      <c r="AO119">
        <v>0</v>
      </c>
      <c r="AP119">
        <v>1</v>
      </c>
      <c r="AQ119">
        <v>1</v>
      </c>
      <c r="AR119">
        <v>1</v>
      </c>
      <c r="AS119">
        <v>1</v>
      </c>
      <c r="AT119">
        <v>1</v>
      </c>
      <c r="AU119">
        <v>1</v>
      </c>
      <c r="AV119">
        <v>1</v>
      </c>
      <c r="AW119">
        <v>1</v>
      </c>
      <c r="AX119">
        <v>1</v>
      </c>
      <c r="AY119">
        <v>1</v>
      </c>
      <c r="AZ119">
        <v>1</v>
      </c>
      <c r="BA119">
        <v>1</v>
      </c>
      <c r="BB119">
        <v>0</v>
      </c>
      <c r="BC119">
        <v>0</v>
      </c>
      <c r="BL119">
        <v>0</v>
      </c>
      <c r="BM119">
        <v>0</v>
      </c>
      <c r="BN119">
        <v>0</v>
      </c>
      <c r="BO119">
        <v>1</v>
      </c>
      <c r="BP119">
        <v>1</v>
      </c>
      <c r="BQ119">
        <v>1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1</v>
      </c>
      <c r="CE119">
        <v>1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</row>
    <row r="120" spans="1:93" x14ac:dyDescent="0.35">
      <c r="A120" s="16" t="s">
        <v>273</v>
      </c>
    </row>
    <row r="121" spans="1:93" x14ac:dyDescent="0.35">
      <c r="A121">
        <v>77</v>
      </c>
      <c r="B121" t="s">
        <v>274</v>
      </c>
      <c r="C121" t="s">
        <v>275</v>
      </c>
      <c r="D121">
        <v>0</v>
      </c>
      <c r="E121">
        <v>0</v>
      </c>
      <c r="F121">
        <v>0</v>
      </c>
      <c r="G121">
        <v>1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1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1</v>
      </c>
      <c r="AG121">
        <v>1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1</v>
      </c>
      <c r="AQ121">
        <v>1</v>
      </c>
      <c r="AR121">
        <v>0</v>
      </c>
      <c r="AS121">
        <v>0</v>
      </c>
      <c r="AT121">
        <v>1</v>
      </c>
      <c r="AU121">
        <v>1</v>
      </c>
      <c r="AV121">
        <v>1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1</v>
      </c>
      <c r="BH121">
        <v>1</v>
      </c>
      <c r="BI121">
        <v>1</v>
      </c>
      <c r="BJ121">
        <v>1</v>
      </c>
      <c r="BK121">
        <v>1</v>
      </c>
      <c r="BL121">
        <v>0</v>
      </c>
      <c r="BM121">
        <v>0</v>
      </c>
      <c r="BN121">
        <v>0</v>
      </c>
      <c r="BO121">
        <v>0</v>
      </c>
      <c r="BP121">
        <v>1</v>
      </c>
      <c r="BQ121">
        <v>1</v>
      </c>
      <c r="BR121">
        <v>1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</row>
    <row r="122" spans="1:93" x14ac:dyDescent="0.35">
      <c r="A122" s="16" t="s">
        <v>276</v>
      </c>
    </row>
    <row r="123" spans="1:93" x14ac:dyDescent="0.35">
      <c r="A123">
        <v>78</v>
      </c>
      <c r="B123" t="s">
        <v>277</v>
      </c>
      <c r="C123" t="s">
        <v>278</v>
      </c>
      <c r="D123">
        <v>0</v>
      </c>
      <c r="E123">
        <v>0</v>
      </c>
      <c r="F123">
        <v>1</v>
      </c>
      <c r="G123">
        <v>1</v>
      </c>
      <c r="H123">
        <v>1</v>
      </c>
      <c r="I123">
        <v>0</v>
      </c>
      <c r="J123">
        <v>0</v>
      </c>
      <c r="K123">
        <v>1</v>
      </c>
      <c r="L123">
        <v>0</v>
      </c>
      <c r="M123">
        <v>0</v>
      </c>
      <c r="N123">
        <v>0</v>
      </c>
      <c r="O123">
        <v>0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1</v>
      </c>
      <c r="AH123">
        <v>1</v>
      </c>
      <c r="AI123">
        <v>1</v>
      </c>
      <c r="AJ123">
        <v>1</v>
      </c>
      <c r="AK123">
        <v>1</v>
      </c>
      <c r="AL123">
        <v>0</v>
      </c>
      <c r="AM123">
        <v>1</v>
      </c>
      <c r="AN123">
        <v>1</v>
      </c>
      <c r="AO123">
        <v>0</v>
      </c>
      <c r="AP123">
        <v>1</v>
      </c>
      <c r="AQ123">
        <v>1</v>
      </c>
      <c r="AR123">
        <v>1</v>
      </c>
      <c r="AS123">
        <v>1</v>
      </c>
      <c r="AT123">
        <v>1</v>
      </c>
      <c r="AU123">
        <v>1</v>
      </c>
      <c r="AV123">
        <v>1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1</v>
      </c>
      <c r="BQ123">
        <v>1</v>
      </c>
      <c r="BR123">
        <v>1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</row>
    <row r="124" spans="1:93" x14ac:dyDescent="0.35">
      <c r="A124" s="16" t="s">
        <v>169</v>
      </c>
    </row>
    <row r="125" spans="1:93" x14ac:dyDescent="0.35">
      <c r="A125">
        <v>79</v>
      </c>
      <c r="B125" t="s">
        <v>279</v>
      </c>
      <c r="C125" t="s">
        <v>280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1</v>
      </c>
      <c r="BR125">
        <v>1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</row>
    <row r="126" spans="1:93" x14ac:dyDescent="0.35">
      <c r="A126" s="16" t="s">
        <v>281</v>
      </c>
    </row>
    <row r="127" spans="1:93" x14ac:dyDescent="0.35">
      <c r="A127">
        <v>80</v>
      </c>
      <c r="B127" t="s">
        <v>282</v>
      </c>
      <c r="C127" t="s">
        <v>283</v>
      </c>
      <c r="D127">
        <v>0</v>
      </c>
      <c r="E127">
        <v>0</v>
      </c>
      <c r="F127">
        <v>0</v>
      </c>
      <c r="G127">
        <v>1</v>
      </c>
      <c r="H127">
        <v>1</v>
      </c>
      <c r="I127">
        <v>1</v>
      </c>
      <c r="J127">
        <v>1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1</v>
      </c>
      <c r="AG127">
        <v>1</v>
      </c>
      <c r="AH127">
        <v>0</v>
      </c>
      <c r="AI127">
        <v>1</v>
      </c>
      <c r="AJ127">
        <v>1</v>
      </c>
      <c r="AK127">
        <v>1</v>
      </c>
      <c r="AL127">
        <v>1</v>
      </c>
      <c r="AM127">
        <v>0</v>
      </c>
      <c r="AN127">
        <v>1</v>
      </c>
      <c r="AO127">
        <v>0</v>
      </c>
      <c r="AP127">
        <v>1</v>
      </c>
      <c r="AQ127">
        <v>1</v>
      </c>
      <c r="AR127">
        <v>0</v>
      </c>
      <c r="AS127">
        <v>0</v>
      </c>
      <c r="AT127">
        <v>1</v>
      </c>
      <c r="AU127">
        <v>1</v>
      </c>
      <c r="AV127">
        <v>1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1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</row>
    <row r="128" spans="1:93" x14ac:dyDescent="0.35">
      <c r="A128">
        <v>81</v>
      </c>
      <c r="B128" t="s">
        <v>284</v>
      </c>
      <c r="C128" t="s">
        <v>285</v>
      </c>
      <c r="D128">
        <v>0</v>
      </c>
      <c r="E128">
        <v>0</v>
      </c>
      <c r="F128">
        <v>0</v>
      </c>
      <c r="G128">
        <v>1</v>
      </c>
      <c r="H128">
        <v>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1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1</v>
      </c>
      <c r="AG128">
        <v>1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1</v>
      </c>
      <c r="AO128">
        <v>0</v>
      </c>
      <c r="AP128">
        <v>1</v>
      </c>
      <c r="AQ128">
        <v>1</v>
      </c>
      <c r="AR128">
        <v>0</v>
      </c>
      <c r="AS128">
        <v>0</v>
      </c>
      <c r="AT128">
        <v>1</v>
      </c>
      <c r="AU128">
        <v>1</v>
      </c>
      <c r="AV128">
        <v>1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1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</row>
    <row r="129" spans="1:93" x14ac:dyDescent="0.35">
      <c r="A129" s="16" t="s">
        <v>286</v>
      </c>
    </row>
    <row r="130" spans="1:93" x14ac:dyDescent="0.35">
      <c r="A130">
        <v>82</v>
      </c>
      <c r="B130" t="s">
        <v>287</v>
      </c>
      <c r="C130" t="s">
        <v>288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1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1</v>
      </c>
      <c r="CM130">
        <v>1</v>
      </c>
      <c r="CN130">
        <v>1</v>
      </c>
      <c r="CO130">
        <v>1</v>
      </c>
    </row>
    <row r="131" spans="1:93" x14ac:dyDescent="0.35">
      <c r="A131" s="16" t="s">
        <v>289</v>
      </c>
    </row>
    <row r="132" spans="1:93" x14ac:dyDescent="0.35">
      <c r="A132" s="16" t="s">
        <v>290</v>
      </c>
    </row>
    <row r="133" spans="1:93" x14ac:dyDescent="0.35">
      <c r="A133">
        <v>83</v>
      </c>
      <c r="B133" t="s">
        <v>291</v>
      </c>
      <c r="C133" t="s">
        <v>292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1</v>
      </c>
      <c r="K133">
        <v>0</v>
      </c>
      <c r="L133">
        <v>1</v>
      </c>
      <c r="M133">
        <v>0</v>
      </c>
      <c r="N133">
        <v>0</v>
      </c>
      <c r="O133">
        <v>0</v>
      </c>
      <c r="P133">
        <v>1</v>
      </c>
      <c r="Q133">
        <v>1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1</v>
      </c>
      <c r="AH133">
        <v>0</v>
      </c>
      <c r="AI133">
        <v>1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1</v>
      </c>
      <c r="AQ133">
        <v>1</v>
      </c>
      <c r="AR133">
        <v>0</v>
      </c>
      <c r="AS133">
        <v>0</v>
      </c>
      <c r="AT133">
        <v>1</v>
      </c>
      <c r="AU133">
        <v>1</v>
      </c>
      <c r="AV133">
        <v>1</v>
      </c>
      <c r="AW133">
        <v>1</v>
      </c>
      <c r="AX133">
        <v>1</v>
      </c>
      <c r="AY133">
        <v>1</v>
      </c>
      <c r="AZ133">
        <v>1</v>
      </c>
      <c r="BA133">
        <v>1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1</v>
      </c>
      <c r="BQ133">
        <v>1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1</v>
      </c>
      <c r="CE133">
        <v>1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</row>
    <row r="134" spans="1:93" x14ac:dyDescent="0.35">
      <c r="A134">
        <v>84</v>
      </c>
      <c r="B134" t="s">
        <v>293</v>
      </c>
      <c r="C134" t="s">
        <v>294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1</v>
      </c>
      <c r="Q134">
        <v>1</v>
      </c>
      <c r="R134">
        <v>1</v>
      </c>
      <c r="S134">
        <v>1</v>
      </c>
      <c r="T134">
        <v>1</v>
      </c>
      <c r="U134">
        <v>1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1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1</v>
      </c>
      <c r="AQ134">
        <v>1</v>
      </c>
      <c r="AR134">
        <v>0</v>
      </c>
      <c r="AS134">
        <v>0</v>
      </c>
      <c r="AT134">
        <v>1</v>
      </c>
      <c r="AU134">
        <v>1</v>
      </c>
      <c r="AV134">
        <v>1</v>
      </c>
      <c r="AW134">
        <v>1</v>
      </c>
      <c r="AX134">
        <v>1</v>
      </c>
      <c r="AY134">
        <v>1</v>
      </c>
      <c r="AZ134">
        <v>1</v>
      </c>
      <c r="BA134">
        <v>1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1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1</v>
      </c>
      <c r="CE134">
        <v>1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</row>
    <row r="135" spans="1:93" x14ac:dyDescent="0.35">
      <c r="A135" s="16" t="s">
        <v>295</v>
      </c>
    </row>
    <row r="136" spans="1:93" x14ac:dyDescent="0.35">
      <c r="A136">
        <v>85</v>
      </c>
      <c r="B136" t="s">
        <v>296</v>
      </c>
      <c r="C136" t="s">
        <v>297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1</v>
      </c>
      <c r="J136">
        <v>1</v>
      </c>
      <c r="K136">
        <v>1</v>
      </c>
      <c r="L136">
        <v>1</v>
      </c>
      <c r="M136">
        <v>0</v>
      </c>
      <c r="N136">
        <v>1</v>
      </c>
      <c r="O136">
        <v>0</v>
      </c>
      <c r="P136">
        <v>1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1</v>
      </c>
      <c r="AN136">
        <v>1</v>
      </c>
      <c r="AO136">
        <v>0</v>
      </c>
      <c r="AP136">
        <v>1</v>
      </c>
      <c r="AQ136">
        <v>1</v>
      </c>
      <c r="AR136">
        <v>0</v>
      </c>
      <c r="AS136">
        <v>0</v>
      </c>
      <c r="AT136">
        <v>1</v>
      </c>
      <c r="AU136">
        <v>1</v>
      </c>
      <c r="AV136">
        <v>1</v>
      </c>
      <c r="AW136">
        <v>1</v>
      </c>
      <c r="AX136">
        <v>1</v>
      </c>
      <c r="AY136">
        <v>1</v>
      </c>
      <c r="AZ136">
        <v>1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</row>
    <row r="137" spans="1:93" x14ac:dyDescent="0.35">
      <c r="A137">
        <v>86</v>
      </c>
      <c r="B137" t="s">
        <v>298</v>
      </c>
      <c r="C137" t="s">
        <v>299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1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1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1</v>
      </c>
      <c r="AN137">
        <v>1</v>
      </c>
      <c r="AO137">
        <v>0</v>
      </c>
      <c r="AP137">
        <v>1</v>
      </c>
      <c r="AQ137">
        <v>1</v>
      </c>
      <c r="AR137">
        <v>0</v>
      </c>
      <c r="AS137">
        <v>0</v>
      </c>
      <c r="AT137">
        <v>1</v>
      </c>
      <c r="AU137">
        <v>1</v>
      </c>
      <c r="AV137">
        <v>1</v>
      </c>
      <c r="AW137">
        <v>1</v>
      </c>
      <c r="AX137">
        <v>1</v>
      </c>
      <c r="AY137">
        <v>1</v>
      </c>
      <c r="AZ137">
        <v>1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</row>
    <row r="138" spans="1:93" x14ac:dyDescent="0.35">
      <c r="A138">
        <v>87</v>
      </c>
      <c r="B138" t="s">
        <v>300</v>
      </c>
      <c r="C138" t="s">
        <v>301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1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1</v>
      </c>
      <c r="AQ138">
        <v>1</v>
      </c>
      <c r="AR138">
        <v>0</v>
      </c>
      <c r="AS138">
        <v>0</v>
      </c>
      <c r="AT138">
        <v>1</v>
      </c>
      <c r="AU138">
        <v>1</v>
      </c>
      <c r="AV138">
        <v>1</v>
      </c>
      <c r="AW138">
        <v>1</v>
      </c>
      <c r="AX138">
        <v>0</v>
      </c>
      <c r="AY138">
        <v>1</v>
      </c>
      <c r="AZ138">
        <v>1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T138">
        <v>0</v>
      </c>
      <c r="BU138">
        <v>0</v>
      </c>
      <c r="BV138">
        <v>1</v>
      </c>
      <c r="BW138">
        <v>1</v>
      </c>
      <c r="BX138">
        <v>1</v>
      </c>
      <c r="BY138">
        <v>1</v>
      </c>
      <c r="BZ138">
        <v>1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</row>
    <row r="139" spans="1:93" x14ac:dyDescent="0.35">
      <c r="A139" s="16" t="s">
        <v>302</v>
      </c>
      <c r="BG139">
        <v>0</v>
      </c>
      <c r="BH139">
        <v>0</v>
      </c>
      <c r="BI139">
        <v>0</v>
      </c>
      <c r="BJ139">
        <v>0</v>
      </c>
      <c r="BK139">
        <v>0</v>
      </c>
    </row>
    <row r="140" spans="1:93" x14ac:dyDescent="0.35">
      <c r="A140">
        <v>88</v>
      </c>
      <c r="B140" t="s">
        <v>303</v>
      </c>
      <c r="C140" t="s">
        <v>304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</row>
    <row r="141" spans="1:93" x14ac:dyDescent="0.35">
      <c r="A141" s="16" t="s">
        <v>305</v>
      </c>
    </row>
    <row r="142" spans="1:93" x14ac:dyDescent="0.35">
      <c r="A142">
        <v>89</v>
      </c>
      <c r="B142" t="s">
        <v>306</v>
      </c>
      <c r="C142" t="s">
        <v>307</v>
      </c>
      <c r="D142">
        <v>0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</row>
    <row r="143" spans="1:93" x14ac:dyDescent="0.35">
      <c r="A143">
        <v>90</v>
      </c>
      <c r="B143" t="s">
        <v>308</v>
      </c>
      <c r="C143" t="s">
        <v>309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1</v>
      </c>
      <c r="AG143">
        <v>1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1</v>
      </c>
      <c r="AN143">
        <v>1</v>
      </c>
      <c r="AO143">
        <v>1</v>
      </c>
      <c r="AP143">
        <v>1</v>
      </c>
      <c r="AQ143">
        <v>1</v>
      </c>
      <c r="AR143">
        <v>0</v>
      </c>
      <c r="AS143">
        <v>0</v>
      </c>
      <c r="AT143">
        <v>1</v>
      </c>
      <c r="AU143">
        <v>1</v>
      </c>
      <c r="AV143">
        <v>1</v>
      </c>
      <c r="AW143">
        <v>0</v>
      </c>
      <c r="AX143">
        <v>0</v>
      </c>
      <c r="AY143">
        <v>0</v>
      </c>
      <c r="AZ143">
        <v>0</v>
      </c>
      <c r="BA143">
        <v>1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1</v>
      </c>
      <c r="BR143">
        <v>1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</row>
    <row r="144" spans="1:93" x14ac:dyDescent="0.35">
      <c r="A144" s="16" t="s">
        <v>169</v>
      </c>
    </row>
    <row r="145" spans="1:93" x14ac:dyDescent="0.35">
      <c r="A145">
        <v>91</v>
      </c>
      <c r="B145" t="s">
        <v>310</v>
      </c>
      <c r="C145" t="s">
        <v>311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1</v>
      </c>
      <c r="O145">
        <v>1</v>
      </c>
      <c r="P145">
        <v>1</v>
      </c>
      <c r="Q145">
        <v>0</v>
      </c>
      <c r="R145">
        <v>0</v>
      </c>
      <c r="S145">
        <v>1</v>
      </c>
      <c r="T145">
        <v>1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1</v>
      </c>
      <c r="AN145">
        <v>1</v>
      </c>
      <c r="AO145">
        <v>1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</row>
    <row r="146" spans="1:93" s="6" customFormat="1" x14ac:dyDescent="0.35">
      <c r="D146" s="24">
        <f>SUM(D7:D145)</f>
        <v>44</v>
      </c>
      <c r="E146" s="24">
        <f t="shared" ref="E146:BP146" si="0">SUM(E7:E145)</f>
        <v>41</v>
      </c>
      <c r="F146" s="24">
        <f t="shared" si="0"/>
        <v>62</v>
      </c>
      <c r="G146" s="24">
        <f t="shared" si="0"/>
        <v>66</v>
      </c>
      <c r="H146" s="24">
        <f t="shared" si="0"/>
        <v>64</v>
      </c>
      <c r="I146" s="25">
        <f t="shared" si="0"/>
        <v>53</v>
      </c>
      <c r="J146" s="25">
        <f t="shared" si="0"/>
        <v>54</v>
      </c>
      <c r="K146" s="25">
        <f t="shared" si="0"/>
        <v>52</v>
      </c>
      <c r="L146" s="25">
        <f t="shared" si="0"/>
        <v>50</v>
      </c>
      <c r="M146" s="25">
        <f t="shared" si="0"/>
        <v>57</v>
      </c>
      <c r="N146" s="24">
        <f t="shared" si="0"/>
        <v>26</v>
      </c>
      <c r="O146" s="24">
        <f t="shared" si="0"/>
        <v>27</v>
      </c>
      <c r="P146" s="24">
        <f t="shared" si="0"/>
        <v>57</v>
      </c>
      <c r="Q146" s="24">
        <f t="shared" si="0"/>
        <v>57</v>
      </c>
      <c r="R146" s="24">
        <f t="shared" si="0"/>
        <v>52</v>
      </c>
      <c r="S146" s="25">
        <f t="shared" si="0"/>
        <v>39</v>
      </c>
      <c r="T146" s="25">
        <f t="shared" si="0"/>
        <v>39</v>
      </c>
      <c r="U146" s="25">
        <f t="shared" si="0"/>
        <v>48</v>
      </c>
      <c r="V146" s="25">
        <f t="shared" si="0"/>
        <v>54</v>
      </c>
      <c r="W146" s="25">
        <f t="shared" si="0"/>
        <v>55</v>
      </c>
      <c r="X146" s="24">
        <f t="shared" si="0"/>
        <v>22</v>
      </c>
      <c r="Y146" s="24">
        <f t="shared" si="0"/>
        <v>22</v>
      </c>
      <c r="Z146" s="24">
        <f t="shared" si="0"/>
        <v>22</v>
      </c>
      <c r="AA146" s="24">
        <f t="shared" si="0"/>
        <v>38</v>
      </c>
      <c r="AB146" s="24">
        <f t="shared" si="0"/>
        <v>38</v>
      </c>
      <c r="AC146" s="25">
        <f t="shared" si="0"/>
        <v>19</v>
      </c>
      <c r="AD146" s="25">
        <f t="shared" si="0"/>
        <v>33</v>
      </c>
      <c r="AE146" s="25">
        <f t="shared" si="0"/>
        <v>39</v>
      </c>
      <c r="AF146" s="25">
        <f t="shared" si="0"/>
        <v>56</v>
      </c>
      <c r="AG146" s="25">
        <f t="shared" si="0"/>
        <v>71</v>
      </c>
      <c r="AH146" s="24">
        <f t="shared" si="0"/>
        <v>28</v>
      </c>
      <c r="AI146" s="24">
        <f t="shared" si="0"/>
        <v>47</v>
      </c>
      <c r="AJ146" s="24">
        <f t="shared" si="0"/>
        <v>38</v>
      </c>
      <c r="AK146" s="24">
        <f t="shared" si="0"/>
        <v>44</v>
      </c>
      <c r="AL146" s="24">
        <f t="shared" si="0"/>
        <v>50</v>
      </c>
      <c r="AM146" s="25">
        <f t="shared" si="0"/>
        <v>43</v>
      </c>
      <c r="AN146" s="25">
        <f t="shared" si="0"/>
        <v>59</v>
      </c>
      <c r="AO146" s="25">
        <f t="shared" si="0"/>
        <v>44</v>
      </c>
      <c r="AP146" s="25">
        <f t="shared" si="0"/>
        <v>69</v>
      </c>
      <c r="AQ146" s="25">
        <f t="shared" si="0"/>
        <v>70</v>
      </c>
      <c r="AR146" s="24">
        <f t="shared" si="0"/>
        <v>26</v>
      </c>
      <c r="AS146" s="24">
        <f t="shared" si="0"/>
        <v>26</v>
      </c>
      <c r="AT146" s="24">
        <f t="shared" si="0"/>
        <v>71</v>
      </c>
      <c r="AU146" s="24">
        <f t="shared" si="0"/>
        <v>69</v>
      </c>
      <c r="AV146" s="24">
        <f t="shared" si="0"/>
        <v>71</v>
      </c>
      <c r="AW146" s="25">
        <f t="shared" si="0"/>
        <v>54</v>
      </c>
      <c r="AX146" s="25">
        <f t="shared" si="0"/>
        <v>54</v>
      </c>
      <c r="AY146" s="25">
        <f t="shared" si="0"/>
        <v>56</v>
      </c>
      <c r="AZ146" s="25">
        <f t="shared" si="0"/>
        <v>56</v>
      </c>
      <c r="BA146" s="25">
        <f t="shared" si="0"/>
        <v>52</v>
      </c>
      <c r="BB146" s="24">
        <f t="shared" si="0"/>
        <v>7</v>
      </c>
      <c r="BC146" s="24">
        <f t="shared" si="0"/>
        <v>10</v>
      </c>
      <c r="BD146" s="24">
        <f t="shared" si="0"/>
        <v>10</v>
      </c>
      <c r="BE146" s="24">
        <f t="shared" si="0"/>
        <v>10</v>
      </c>
      <c r="BF146" s="24">
        <f t="shared" si="0"/>
        <v>10</v>
      </c>
      <c r="BG146" s="25">
        <f t="shared" si="0"/>
        <v>13</v>
      </c>
      <c r="BH146" s="25">
        <f t="shared" si="0"/>
        <v>13</v>
      </c>
      <c r="BI146" s="25">
        <f t="shared" si="0"/>
        <v>13</v>
      </c>
      <c r="BJ146" s="25">
        <f t="shared" si="0"/>
        <v>13</v>
      </c>
      <c r="BK146" s="25">
        <f t="shared" si="0"/>
        <v>13</v>
      </c>
      <c r="BL146" s="24">
        <f t="shared" si="0"/>
        <v>5</v>
      </c>
      <c r="BM146" s="24">
        <f t="shared" si="0"/>
        <v>9</v>
      </c>
      <c r="BN146" s="24">
        <f t="shared" si="0"/>
        <v>22</v>
      </c>
      <c r="BO146" s="24">
        <f t="shared" si="0"/>
        <v>22</v>
      </c>
      <c r="BP146" s="24">
        <f t="shared" si="0"/>
        <v>42</v>
      </c>
      <c r="BQ146" s="25">
        <f t="shared" ref="BQ146:CY146" si="1">SUM(BQ7:BQ145)</f>
        <v>32</v>
      </c>
      <c r="BR146" s="25">
        <f t="shared" si="1"/>
        <v>31</v>
      </c>
      <c r="BS146" s="25">
        <f t="shared" si="1"/>
        <v>33</v>
      </c>
      <c r="BT146" s="25">
        <f t="shared" si="1"/>
        <v>45</v>
      </c>
      <c r="BU146" s="25">
        <f t="shared" si="1"/>
        <v>46</v>
      </c>
      <c r="BV146" s="24">
        <f t="shared" si="1"/>
        <v>19</v>
      </c>
      <c r="BW146" s="24">
        <f t="shared" si="1"/>
        <v>19</v>
      </c>
      <c r="BX146" s="24">
        <f t="shared" si="1"/>
        <v>19</v>
      </c>
      <c r="BY146" s="24">
        <f t="shared" si="1"/>
        <v>19</v>
      </c>
      <c r="BZ146" s="24">
        <f t="shared" si="1"/>
        <v>19</v>
      </c>
      <c r="CA146" s="25">
        <f t="shared" si="1"/>
        <v>15</v>
      </c>
      <c r="CB146" s="25">
        <f t="shared" si="1"/>
        <v>15</v>
      </c>
      <c r="CC146" s="25">
        <f t="shared" si="1"/>
        <v>15</v>
      </c>
      <c r="CD146" s="25">
        <f t="shared" si="1"/>
        <v>41</v>
      </c>
      <c r="CE146" s="25">
        <f t="shared" si="1"/>
        <v>37</v>
      </c>
      <c r="CF146" s="24">
        <f t="shared" si="1"/>
        <v>11</v>
      </c>
      <c r="CG146" s="24">
        <f t="shared" si="1"/>
        <v>11</v>
      </c>
      <c r="CH146" s="24">
        <f t="shared" si="1"/>
        <v>11</v>
      </c>
      <c r="CI146" s="24">
        <f t="shared" si="1"/>
        <v>11</v>
      </c>
      <c r="CJ146" s="24">
        <f t="shared" si="1"/>
        <v>11</v>
      </c>
      <c r="CK146" s="25">
        <f>SUM(CK7:CK145)</f>
        <v>16</v>
      </c>
      <c r="CL146" s="25">
        <f t="shared" si="1"/>
        <v>16</v>
      </c>
      <c r="CM146" s="25">
        <f t="shared" si="1"/>
        <v>16</v>
      </c>
      <c r="CN146" s="25">
        <f t="shared" si="1"/>
        <v>16</v>
      </c>
      <c r="CO146" s="25">
        <f t="shared" si="1"/>
        <v>16</v>
      </c>
    </row>
  </sheetData>
  <mergeCells count="39">
    <mergeCell ref="A59:C59"/>
    <mergeCell ref="A61:C61"/>
    <mergeCell ref="A65:C65"/>
    <mergeCell ref="A33:C33"/>
    <mergeCell ref="A38:C38"/>
    <mergeCell ref="A46:C46"/>
    <mergeCell ref="A52:C52"/>
    <mergeCell ref="A55:C55"/>
    <mergeCell ref="A57:C57"/>
    <mergeCell ref="A14:C14"/>
    <mergeCell ref="A17:C17"/>
    <mergeCell ref="A19:C19"/>
    <mergeCell ref="A20:C20"/>
    <mergeCell ref="A23:C23"/>
    <mergeCell ref="A29:C29"/>
    <mergeCell ref="CA3:CE3"/>
    <mergeCell ref="CF3:CJ3"/>
    <mergeCell ref="CK3:CO3"/>
    <mergeCell ref="A5:C5"/>
    <mergeCell ref="A6:C6"/>
    <mergeCell ref="A11:C11"/>
    <mergeCell ref="AW3:BA3"/>
    <mergeCell ref="BB3:BF3"/>
    <mergeCell ref="BG3:BK3"/>
    <mergeCell ref="BL3:BP3"/>
    <mergeCell ref="BQ3:BU3"/>
    <mergeCell ref="BV3:BZ3"/>
    <mergeCell ref="S3:W3"/>
    <mergeCell ref="X3:AB3"/>
    <mergeCell ref="AC3:AG3"/>
    <mergeCell ref="AH3:AL3"/>
    <mergeCell ref="AM3:AQ3"/>
    <mergeCell ref="AR3:AV3"/>
    <mergeCell ref="A3:A4"/>
    <mergeCell ref="B3:B4"/>
    <mergeCell ref="C3:C4"/>
    <mergeCell ref="D3:H3"/>
    <mergeCell ref="I3:M3"/>
    <mergeCell ref="N3:R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80120-0876-4C26-861B-1C927F7855F8}">
  <dimension ref="A1:G76"/>
  <sheetViews>
    <sheetView workbookViewId="0">
      <selection activeCell="E71" sqref="E71"/>
    </sheetView>
  </sheetViews>
  <sheetFormatPr defaultRowHeight="14.5" x14ac:dyDescent="0.35"/>
  <cols>
    <col min="1" max="1" width="4.36328125" customWidth="1"/>
    <col min="2" max="2" width="16.1796875" bestFit="1" customWidth="1"/>
    <col min="6" max="7" width="14.7265625" customWidth="1"/>
  </cols>
  <sheetData>
    <row r="1" spans="1:7" x14ac:dyDescent="0.35">
      <c r="A1" s="26" t="s">
        <v>0</v>
      </c>
      <c r="B1" s="26" t="s">
        <v>312</v>
      </c>
      <c r="C1" s="26" t="s">
        <v>2</v>
      </c>
      <c r="D1" s="26" t="s">
        <v>313</v>
      </c>
      <c r="E1" s="26" t="s">
        <v>314</v>
      </c>
      <c r="F1" s="26" t="s">
        <v>315</v>
      </c>
      <c r="G1" s="27" t="s">
        <v>316</v>
      </c>
    </row>
    <row r="2" spans="1:7" x14ac:dyDescent="0.35">
      <c r="A2" s="28">
        <v>1</v>
      </c>
      <c r="B2" s="28" t="s">
        <v>7</v>
      </c>
      <c r="C2" s="29">
        <v>2019</v>
      </c>
      <c r="D2" s="29">
        <v>5</v>
      </c>
      <c r="E2" s="29">
        <v>53</v>
      </c>
      <c r="F2" s="29">
        <v>0.81179747400000002</v>
      </c>
      <c r="G2" s="30">
        <v>6.0273752E-2</v>
      </c>
    </row>
    <row r="3" spans="1:7" x14ac:dyDescent="0.35">
      <c r="A3" s="28"/>
      <c r="B3" s="28"/>
      <c r="C3" s="29">
        <v>2020</v>
      </c>
      <c r="D3" s="29">
        <v>5</v>
      </c>
      <c r="E3" s="29">
        <v>54</v>
      </c>
      <c r="F3" s="29">
        <v>0.63082804100000001</v>
      </c>
      <c r="G3" s="30">
        <v>2.4837946999999999E-2</v>
      </c>
    </row>
    <row r="4" spans="1:7" x14ac:dyDescent="0.35">
      <c r="A4" s="28"/>
      <c r="B4" s="28"/>
      <c r="C4" s="29">
        <v>2021</v>
      </c>
      <c r="D4" s="29">
        <v>5</v>
      </c>
      <c r="E4" s="29">
        <v>52</v>
      </c>
      <c r="F4" s="29">
        <v>0.70174965199999995</v>
      </c>
      <c r="G4" s="30">
        <v>0.108703235</v>
      </c>
    </row>
    <row r="5" spans="1:7" x14ac:dyDescent="0.35">
      <c r="A5" s="28"/>
      <c r="B5" s="28"/>
      <c r="C5" s="29">
        <v>2022</v>
      </c>
      <c r="D5" s="29">
        <v>5</v>
      </c>
      <c r="E5" s="29">
        <v>50</v>
      </c>
      <c r="F5" s="29">
        <v>0.39462510200000001</v>
      </c>
      <c r="G5" s="30">
        <v>0.26257117299999999</v>
      </c>
    </row>
    <row r="6" spans="1:7" x14ac:dyDescent="0.35">
      <c r="A6" s="28"/>
      <c r="B6" s="28"/>
      <c r="C6" s="29">
        <v>2023</v>
      </c>
      <c r="D6" s="29">
        <v>5</v>
      </c>
      <c r="E6" s="29">
        <v>57</v>
      </c>
      <c r="F6" s="29">
        <v>0.38729313199999998</v>
      </c>
      <c r="G6" s="30">
        <v>0.177115362</v>
      </c>
    </row>
    <row r="7" spans="1:7" x14ac:dyDescent="0.35">
      <c r="A7" s="28">
        <v>2</v>
      </c>
      <c r="B7" s="28" t="s">
        <v>51</v>
      </c>
      <c r="C7" s="29">
        <v>2019</v>
      </c>
      <c r="D7" s="29">
        <v>3</v>
      </c>
      <c r="E7" s="29">
        <v>22</v>
      </c>
      <c r="F7" s="29">
        <v>0.78016039100000001</v>
      </c>
      <c r="G7" s="30">
        <v>1.9267257600000001</v>
      </c>
    </row>
    <row r="8" spans="1:7" x14ac:dyDescent="0.35">
      <c r="A8" s="28"/>
      <c r="B8" s="28"/>
      <c r="C8" s="29">
        <v>2020</v>
      </c>
      <c r="D8" s="29">
        <v>3</v>
      </c>
      <c r="E8" s="29">
        <v>22</v>
      </c>
      <c r="F8" s="29">
        <v>1.220827222</v>
      </c>
      <c r="G8" s="30">
        <v>-1.9963082E-2</v>
      </c>
    </row>
    <row r="9" spans="1:7" x14ac:dyDescent="0.35">
      <c r="A9" s="28"/>
      <c r="B9" s="28"/>
      <c r="C9" s="29">
        <v>2021</v>
      </c>
      <c r="D9" s="29">
        <v>3</v>
      </c>
      <c r="E9" s="29">
        <v>22</v>
      </c>
      <c r="F9" s="29">
        <v>0.79429402100000002</v>
      </c>
      <c r="G9" s="30">
        <v>8.8149875000000003E-2</v>
      </c>
    </row>
    <row r="10" spans="1:7" x14ac:dyDescent="0.35">
      <c r="A10" s="28"/>
      <c r="B10" s="28"/>
      <c r="C10" s="29">
        <v>2022</v>
      </c>
      <c r="D10" s="29">
        <v>3</v>
      </c>
      <c r="E10" s="29">
        <v>38</v>
      </c>
      <c r="F10" s="29">
        <v>0.69179661800000003</v>
      </c>
      <c r="G10" s="30">
        <v>0.20185465399999999</v>
      </c>
    </row>
    <row r="11" spans="1:7" x14ac:dyDescent="0.35">
      <c r="A11" s="28"/>
      <c r="B11" s="28"/>
      <c r="C11" s="29">
        <v>2023</v>
      </c>
      <c r="D11" s="29">
        <v>3</v>
      </c>
      <c r="E11" s="29">
        <v>38</v>
      </c>
      <c r="F11" s="29">
        <v>1.1244656637999999</v>
      </c>
      <c r="G11" s="30">
        <v>0.28248005100000001</v>
      </c>
    </row>
    <row r="12" spans="1:7" x14ac:dyDescent="0.35">
      <c r="A12" s="28">
        <v>3</v>
      </c>
      <c r="B12" s="28" t="s">
        <v>20</v>
      </c>
      <c r="C12" s="29">
        <v>2019</v>
      </c>
      <c r="D12" s="29">
        <v>3</v>
      </c>
      <c r="E12" s="29">
        <v>5</v>
      </c>
      <c r="F12" s="29">
        <v>0.90260318299999998</v>
      </c>
      <c r="G12" s="30">
        <v>5.2406033999999997E-2</v>
      </c>
    </row>
    <row r="13" spans="1:7" x14ac:dyDescent="0.35">
      <c r="A13" s="28"/>
      <c r="B13" s="28"/>
      <c r="C13" s="29">
        <v>2020</v>
      </c>
      <c r="D13" s="29">
        <v>3</v>
      </c>
      <c r="E13" s="29">
        <v>9</v>
      </c>
      <c r="F13" s="29">
        <v>1.0216335649999999</v>
      </c>
      <c r="G13" s="30">
        <v>3.2935457000000001E-2</v>
      </c>
    </row>
    <row r="14" spans="1:7" x14ac:dyDescent="0.35">
      <c r="A14" s="28"/>
      <c r="B14" s="28"/>
      <c r="C14" s="29">
        <v>2021</v>
      </c>
      <c r="D14" s="29">
        <v>3</v>
      </c>
      <c r="E14" s="29">
        <v>22</v>
      </c>
      <c r="F14" s="29">
        <v>0.91492863899999999</v>
      </c>
      <c r="G14" s="30">
        <v>1.5045494E-2</v>
      </c>
    </row>
    <row r="15" spans="1:7" x14ac:dyDescent="0.35">
      <c r="A15" s="28"/>
      <c r="B15" s="28"/>
      <c r="C15" s="29">
        <v>2022</v>
      </c>
      <c r="D15" s="29">
        <v>3</v>
      </c>
      <c r="E15" s="29">
        <v>22</v>
      </c>
      <c r="F15" s="29">
        <v>1.146113604</v>
      </c>
      <c r="G15" s="30">
        <v>4.2785670999999997E-2</v>
      </c>
    </row>
    <row r="16" spans="1:7" x14ac:dyDescent="0.35">
      <c r="A16" s="28"/>
      <c r="B16" s="28"/>
      <c r="C16" s="29">
        <v>2023</v>
      </c>
      <c r="D16" s="29">
        <v>3</v>
      </c>
      <c r="E16" s="29">
        <v>42</v>
      </c>
      <c r="F16" s="29">
        <v>1.1742151620000001</v>
      </c>
      <c r="G16" s="30">
        <v>5.2401389999999999E-2</v>
      </c>
    </row>
    <row r="17" spans="1:7" x14ac:dyDescent="0.35">
      <c r="A17" s="28">
        <v>4</v>
      </c>
      <c r="B17" s="28" t="s">
        <v>15</v>
      </c>
      <c r="C17" s="29">
        <v>2019</v>
      </c>
      <c r="D17" s="29">
        <v>3</v>
      </c>
      <c r="E17" s="29">
        <v>26</v>
      </c>
      <c r="F17" s="29">
        <v>2.4578812550000002</v>
      </c>
      <c r="G17" s="30">
        <v>1.380589E-3</v>
      </c>
    </row>
    <row r="18" spans="1:7" x14ac:dyDescent="0.35">
      <c r="A18" s="28"/>
      <c r="B18" s="28"/>
      <c r="C18" s="29">
        <v>2020</v>
      </c>
      <c r="D18" s="29">
        <v>3</v>
      </c>
      <c r="E18" s="29">
        <v>26</v>
      </c>
      <c r="F18" s="29">
        <v>3.0282639859999998</v>
      </c>
      <c r="G18" s="30">
        <v>2.9609779999999999E-2</v>
      </c>
    </row>
    <row r="19" spans="1:7" x14ac:dyDescent="0.35">
      <c r="A19" s="28"/>
      <c r="B19" s="28"/>
      <c r="C19" s="29">
        <v>2021</v>
      </c>
      <c r="D19" s="29">
        <v>3</v>
      </c>
      <c r="E19" s="29">
        <v>71</v>
      </c>
      <c r="F19" s="29">
        <v>3.1772321140000002</v>
      </c>
      <c r="G19" s="30">
        <v>1.7152102999999998E-2</v>
      </c>
    </row>
    <row r="20" spans="1:7" x14ac:dyDescent="0.35">
      <c r="A20" s="28"/>
      <c r="B20" s="28"/>
      <c r="C20" s="29">
        <v>2022</v>
      </c>
      <c r="D20" s="29">
        <v>3</v>
      </c>
      <c r="E20" s="29">
        <v>69</v>
      </c>
      <c r="F20" s="29">
        <v>1.681645922</v>
      </c>
      <c r="G20" s="30">
        <v>0.14212417399999999</v>
      </c>
    </row>
    <row r="21" spans="1:7" x14ac:dyDescent="0.35">
      <c r="A21" s="28"/>
      <c r="B21" s="28"/>
      <c r="C21" s="29">
        <v>2023</v>
      </c>
      <c r="D21" s="29">
        <v>3</v>
      </c>
      <c r="E21" s="29">
        <v>71</v>
      </c>
      <c r="F21" s="29">
        <v>1.02504408</v>
      </c>
      <c r="G21" s="30">
        <v>4.8518511E-2</v>
      </c>
    </row>
    <row r="22" spans="1:7" x14ac:dyDescent="0.35">
      <c r="A22" s="28">
        <v>5</v>
      </c>
      <c r="B22" s="28" t="s">
        <v>10</v>
      </c>
      <c r="C22" s="29">
        <v>2019</v>
      </c>
      <c r="D22" s="29">
        <v>3</v>
      </c>
      <c r="E22" s="29">
        <v>19</v>
      </c>
      <c r="F22" s="29">
        <v>0.36697438599999999</v>
      </c>
      <c r="G22" s="30">
        <v>0.104630033</v>
      </c>
    </row>
    <row r="23" spans="1:7" x14ac:dyDescent="0.35">
      <c r="A23" s="28"/>
      <c r="B23" s="28"/>
      <c r="C23" s="29">
        <v>2020</v>
      </c>
      <c r="D23" s="29">
        <v>3</v>
      </c>
      <c r="E23" s="29">
        <v>33</v>
      </c>
      <c r="F23" s="29">
        <v>0.36906852299999998</v>
      </c>
      <c r="G23" s="30">
        <v>3.2648931999999999E-2</v>
      </c>
    </row>
    <row r="24" spans="1:7" x14ac:dyDescent="0.35">
      <c r="A24" s="28"/>
      <c r="B24" s="28"/>
      <c r="C24" s="29">
        <v>2021</v>
      </c>
      <c r="D24" s="29">
        <v>4</v>
      </c>
      <c r="E24" s="29">
        <v>39</v>
      </c>
      <c r="F24" s="29">
        <v>0.38673090500000001</v>
      </c>
      <c r="G24" s="30">
        <v>0.28530720999999998</v>
      </c>
    </row>
    <row r="25" spans="1:7" x14ac:dyDescent="0.35">
      <c r="A25" s="28"/>
      <c r="B25" s="28"/>
      <c r="C25" s="29">
        <v>2022</v>
      </c>
      <c r="D25" s="29">
        <v>4</v>
      </c>
      <c r="E25" s="29">
        <v>56</v>
      </c>
      <c r="F25" s="29">
        <v>0.35374253999999999</v>
      </c>
      <c r="G25" s="30">
        <v>0.45426689199999998</v>
      </c>
    </row>
    <row r="26" spans="1:7" x14ac:dyDescent="0.35">
      <c r="A26" s="28"/>
      <c r="B26" s="28"/>
      <c r="C26" s="29">
        <v>2023</v>
      </c>
      <c r="D26" s="29">
        <v>4</v>
      </c>
      <c r="E26" s="29">
        <v>71</v>
      </c>
      <c r="F26" s="29">
        <v>0.22325863600000001</v>
      </c>
      <c r="G26" s="30">
        <v>0.22836149</v>
      </c>
    </row>
    <row r="27" spans="1:7" x14ac:dyDescent="0.35">
      <c r="A27" s="28">
        <v>6</v>
      </c>
      <c r="B27" s="31" t="s">
        <v>11</v>
      </c>
      <c r="C27" s="29">
        <v>2019</v>
      </c>
      <c r="D27" s="29">
        <v>3</v>
      </c>
      <c r="E27" s="29">
        <v>16</v>
      </c>
      <c r="F27" s="29">
        <v>0.30975565599999999</v>
      </c>
      <c r="G27" s="30">
        <v>0.16293010499999999</v>
      </c>
    </row>
    <row r="28" spans="1:7" x14ac:dyDescent="0.35">
      <c r="A28" s="28"/>
      <c r="B28" s="32"/>
      <c r="C28" s="29">
        <v>2020</v>
      </c>
      <c r="D28" s="29">
        <v>3</v>
      </c>
      <c r="E28" s="29">
        <v>16</v>
      </c>
      <c r="F28" s="29">
        <v>0.17095326899999999</v>
      </c>
      <c r="G28" s="30">
        <v>0.14912204500000001</v>
      </c>
    </row>
    <row r="29" spans="1:7" x14ac:dyDescent="0.35">
      <c r="A29" s="28"/>
      <c r="B29" s="32"/>
      <c r="C29" s="29">
        <v>2021</v>
      </c>
      <c r="D29" s="29">
        <v>3</v>
      </c>
      <c r="E29" s="29">
        <v>16</v>
      </c>
      <c r="F29" s="29">
        <v>0.16612560000000001</v>
      </c>
      <c r="G29" s="30">
        <v>0.16439930899999999</v>
      </c>
    </row>
    <row r="30" spans="1:7" x14ac:dyDescent="0.35">
      <c r="A30" s="28"/>
      <c r="B30" s="32"/>
      <c r="C30" s="29">
        <v>2022</v>
      </c>
      <c r="D30" s="29">
        <v>3</v>
      </c>
      <c r="E30" s="29">
        <v>16</v>
      </c>
      <c r="F30" s="29">
        <v>0.14024224099999999</v>
      </c>
      <c r="G30" s="30">
        <v>8.3197384999999999E-2</v>
      </c>
    </row>
    <row r="31" spans="1:7" x14ac:dyDescent="0.35">
      <c r="A31" s="28"/>
      <c r="B31" s="33"/>
      <c r="C31" s="29">
        <v>2023</v>
      </c>
      <c r="D31" s="29">
        <v>3</v>
      </c>
      <c r="E31" s="29">
        <v>16</v>
      </c>
      <c r="F31" s="29">
        <v>0.38884770000000002</v>
      </c>
      <c r="G31" s="30">
        <v>7.7804445999999999E-2</v>
      </c>
    </row>
    <row r="32" spans="1:7" x14ac:dyDescent="0.35">
      <c r="A32" s="28">
        <v>7</v>
      </c>
      <c r="B32" s="31" t="s">
        <v>13</v>
      </c>
      <c r="C32" s="29">
        <v>2019</v>
      </c>
      <c r="D32" s="29">
        <v>5</v>
      </c>
      <c r="E32" s="29">
        <v>43</v>
      </c>
      <c r="F32" s="29">
        <v>0.41661501899999998</v>
      </c>
      <c r="G32" s="30">
        <v>0.15481592299999999</v>
      </c>
    </row>
    <row r="33" spans="1:7" x14ac:dyDescent="0.35">
      <c r="A33" s="28"/>
      <c r="B33" s="32"/>
      <c r="C33" s="29">
        <v>2020</v>
      </c>
      <c r="D33" s="29">
        <v>5</v>
      </c>
      <c r="E33" s="29">
        <v>59</v>
      </c>
      <c r="F33" s="29">
        <v>0.42018281200000002</v>
      </c>
      <c r="G33" s="30">
        <v>0.100093591</v>
      </c>
    </row>
    <row r="34" spans="1:7" x14ac:dyDescent="0.35">
      <c r="A34" s="28"/>
      <c r="B34" s="32"/>
      <c r="C34" s="29">
        <v>2021</v>
      </c>
      <c r="D34" s="29">
        <v>5</v>
      </c>
      <c r="E34" s="29">
        <v>44</v>
      </c>
      <c r="F34" s="29">
        <v>0.48940851299999999</v>
      </c>
      <c r="G34" s="30">
        <v>0.222482396</v>
      </c>
    </row>
    <row r="35" spans="1:7" x14ac:dyDescent="0.35">
      <c r="A35" s="28"/>
      <c r="B35" s="32"/>
      <c r="C35" s="29">
        <v>2022</v>
      </c>
      <c r="D35" s="29">
        <v>5</v>
      </c>
      <c r="E35" s="29">
        <v>69</v>
      </c>
      <c r="F35" s="29">
        <v>0.56865177899999997</v>
      </c>
      <c r="G35" s="30">
        <v>0.28173832500000001</v>
      </c>
    </row>
    <row r="36" spans="1:7" x14ac:dyDescent="0.35">
      <c r="A36" s="28"/>
      <c r="B36" s="33"/>
      <c r="C36" s="29">
        <v>2023</v>
      </c>
      <c r="D36" s="29">
        <v>5</v>
      </c>
      <c r="E36" s="29">
        <v>70</v>
      </c>
      <c r="F36" s="29">
        <v>0.79774783800000004</v>
      </c>
      <c r="G36" s="30">
        <v>0.16232401199999999</v>
      </c>
    </row>
    <row r="37" spans="1:7" x14ac:dyDescent="0.35">
      <c r="A37" s="28">
        <v>8</v>
      </c>
      <c r="B37" s="31" t="s">
        <v>12</v>
      </c>
      <c r="C37" s="29">
        <v>2019</v>
      </c>
      <c r="D37" s="29">
        <v>3</v>
      </c>
      <c r="E37" s="29">
        <v>28</v>
      </c>
      <c r="F37" s="29">
        <v>1.592379671</v>
      </c>
      <c r="G37" s="30">
        <v>5.6844825000000002E-2</v>
      </c>
    </row>
    <row r="38" spans="1:7" x14ac:dyDescent="0.35">
      <c r="A38" s="28"/>
      <c r="B38" s="32"/>
      <c r="C38" s="29">
        <v>2020</v>
      </c>
      <c r="D38" s="29">
        <v>3</v>
      </c>
      <c r="E38" s="29">
        <v>47</v>
      </c>
      <c r="F38" s="29">
        <v>1.288662288</v>
      </c>
      <c r="G38" s="30">
        <v>6.1353098000000002E-2</v>
      </c>
    </row>
    <row r="39" spans="1:7" x14ac:dyDescent="0.35">
      <c r="A39" s="28"/>
      <c r="B39" s="32"/>
      <c r="C39" s="29">
        <v>2021</v>
      </c>
      <c r="D39" s="29">
        <v>3</v>
      </c>
      <c r="E39" s="29">
        <v>38</v>
      </c>
      <c r="F39" s="29">
        <v>1.0472287229999999</v>
      </c>
      <c r="G39" s="30">
        <v>6.3733256000000002E-2</v>
      </c>
    </row>
    <row r="40" spans="1:7" x14ac:dyDescent="0.35">
      <c r="A40" s="28"/>
      <c r="B40" s="32"/>
      <c r="C40" s="29">
        <v>2022</v>
      </c>
      <c r="D40" s="29">
        <v>3</v>
      </c>
      <c r="E40" s="29">
        <v>44</v>
      </c>
      <c r="F40" s="29">
        <v>1.0011411523</v>
      </c>
      <c r="G40" s="30">
        <v>6.9021830000000006E-2</v>
      </c>
    </row>
    <row r="41" spans="1:7" x14ac:dyDescent="0.35">
      <c r="A41" s="28"/>
      <c r="B41" s="33"/>
      <c r="C41" s="29">
        <v>2023</v>
      </c>
      <c r="D41" s="29">
        <v>3</v>
      </c>
      <c r="E41" s="29">
        <v>50</v>
      </c>
      <c r="F41" s="29">
        <v>2.0893561940000001</v>
      </c>
      <c r="G41" s="30">
        <v>1.7086456E-2</v>
      </c>
    </row>
    <row r="42" spans="1:7" x14ac:dyDescent="0.35">
      <c r="A42" s="28">
        <v>9</v>
      </c>
      <c r="B42" s="31" t="s">
        <v>22</v>
      </c>
      <c r="C42" s="29">
        <v>2019</v>
      </c>
      <c r="D42" s="29">
        <v>3</v>
      </c>
      <c r="E42" s="29">
        <v>11</v>
      </c>
      <c r="F42" s="29">
        <v>0.61690273500000004</v>
      </c>
      <c r="G42" s="30">
        <v>9.2798562000000001E-2</v>
      </c>
    </row>
    <row r="43" spans="1:7" x14ac:dyDescent="0.35">
      <c r="A43" s="28"/>
      <c r="B43" s="32"/>
      <c r="C43" s="29">
        <v>2020</v>
      </c>
      <c r="D43" s="29">
        <v>3</v>
      </c>
      <c r="E43" s="29">
        <v>11</v>
      </c>
      <c r="F43" s="29">
        <v>0.55331113099999996</v>
      </c>
      <c r="G43" s="30">
        <v>5.7412528999999997E-2</v>
      </c>
    </row>
    <row r="44" spans="1:7" x14ac:dyDescent="0.35">
      <c r="A44" s="28"/>
      <c r="B44" s="32"/>
      <c r="C44" s="29">
        <v>2021</v>
      </c>
      <c r="D44" s="29">
        <v>3</v>
      </c>
      <c r="E44" s="29">
        <v>11</v>
      </c>
      <c r="F44" s="29">
        <v>0.40626141599999999</v>
      </c>
      <c r="G44" s="30">
        <v>0.15531136200000001</v>
      </c>
    </row>
    <row r="45" spans="1:7" x14ac:dyDescent="0.35">
      <c r="A45" s="28"/>
      <c r="B45" s="32"/>
      <c r="C45" s="29">
        <v>2022</v>
      </c>
      <c r="D45" s="29">
        <v>3</v>
      </c>
      <c r="E45" s="29">
        <v>11</v>
      </c>
      <c r="F45" s="29">
        <v>0.29950684999999999</v>
      </c>
      <c r="G45" s="30">
        <v>0.23602605700000001</v>
      </c>
    </row>
    <row r="46" spans="1:7" x14ac:dyDescent="0.35">
      <c r="A46" s="28"/>
      <c r="B46" s="33"/>
      <c r="C46" s="29">
        <v>2023</v>
      </c>
      <c r="D46" s="29">
        <v>3</v>
      </c>
      <c r="E46" s="29">
        <v>11</v>
      </c>
      <c r="F46" s="29">
        <v>0.20906786599999999</v>
      </c>
      <c r="G46" s="30">
        <v>0.200570252</v>
      </c>
    </row>
    <row r="47" spans="1:7" x14ac:dyDescent="0.35">
      <c r="A47" s="28">
        <v>10</v>
      </c>
      <c r="B47" s="28" t="s">
        <v>8</v>
      </c>
      <c r="C47" s="29">
        <v>2019</v>
      </c>
      <c r="D47" s="29">
        <v>4</v>
      </c>
      <c r="E47" s="29">
        <v>44</v>
      </c>
      <c r="F47" s="29">
        <v>2.483893455</v>
      </c>
      <c r="G47" s="30">
        <v>4.5584559999999998E-3</v>
      </c>
    </row>
    <row r="48" spans="1:7" x14ac:dyDescent="0.35">
      <c r="A48" s="28"/>
      <c r="B48" s="28"/>
      <c r="C48" s="29">
        <v>2020</v>
      </c>
      <c r="D48" s="29">
        <v>4</v>
      </c>
      <c r="E48" s="29">
        <v>41</v>
      </c>
      <c r="F48" s="29">
        <v>4.1143218350000001</v>
      </c>
      <c r="G48" s="34">
        <v>-4.5621818000000001E-2</v>
      </c>
    </row>
    <row r="49" spans="1:7" x14ac:dyDescent="0.35">
      <c r="A49" s="28"/>
      <c r="B49" s="28"/>
      <c r="C49" s="29">
        <v>2021</v>
      </c>
      <c r="D49" s="29">
        <v>4</v>
      </c>
      <c r="E49" s="29">
        <v>62</v>
      </c>
      <c r="F49" s="29">
        <v>1.9048354510000001</v>
      </c>
      <c r="G49" s="30">
        <v>0.17959212499999999</v>
      </c>
    </row>
    <row r="50" spans="1:7" x14ac:dyDescent="0.35">
      <c r="A50" s="28"/>
      <c r="B50" s="28"/>
      <c r="C50" s="29">
        <v>2022</v>
      </c>
      <c r="D50" s="29">
        <v>4</v>
      </c>
      <c r="E50" s="29">
        <v>66</v>
      </c>
      <c r="F50" s="29">
        <v>2.210542931</v>
      </c>
      <c r="G50" s="30">
        <v>0.17244539510000001</v>
      </c>
    </row>
    <row r="51" spans="1:7" x14ac:dyDescent="0.35">
      <c r="A51" s="28"/>
      <c r="B51" s="28"/>
      <c r="C51" s="29">
        <v>2023</v>
      </c>
      <c r="D51" s="29">
        <v>4</v>
      </c>
      <c r="E51" s="29">
        <v>64</v>
      </c>
      <c r="F51" s="29">
        <v>1.8417594690000001</v>
      </c>
      <c r="G51" s="30">
        <v>0.16303883999999999</v>
      </c>
    </row>
    <row r="52" spans="1:7" x14ac:dyDescent="0.35">
      <c r="A52" s="28">
        <v>11</v>
      </c>
      <c r="B52" s="28" t="s">
        <v>317</v>
      </c>
      <c r="C52" s="29">
        <v>2019</v>
      </c>
      <c r="D52" s="29">
        <v>5</v>
      </c>
      <c r="E52" s="29">
        <v>39</v>
      </c>
      <c r="F52" s="29">
        <v>7.6187831929999996</v>
      </c>
      <c r="G52" s="30">
        <v>2.5576499999999999E-3</v>
      </c>
    </row>
    <row r="53" spans="1:7" x14ac:dyDescent="0.35">
      <c r="A53" s="28"/>
      <c r="B53" s="28"/>
      <c r="C53" s="29">
        <v>2020</v>
      </c>
      <c r="D53" s="29">
        <v>5</v>
      </c>
      <c r="E53" s="29">
        <v>39</v>
      </c>
      <c r="F53" s="29">
        <v>24.848923970000001</v>
      </c>
      <c r="G53" s="30">
        <v>-9.8394638000000006E-2</v>
      </c>
    </row>
    <row r="54" spans="1:7" x14ac:dyDescent="0.35">
      <c r="A54" s="28"/>
      <c r="B54" s="28"/>
      <c r="C54" s="29">
        <v>2021</v>
      </c>
      <c r="D54" s="29">
        <v>5</v>
      </c>
      <c r="E54" s="29">
        <v>48</v>
      </c>
      <c r="F54" s="29">
        <v>5.5338524749999998</v>
      </c>
      <c r="G54" s="30">
        <v>5.2885478999999999E-2</v>
      </c>
    </row>
    <row r="55" spans="1:7" x14ac:dyDescent="0.35">
      <c r="A55" s="28"/>
      <c r="B55" s="28"/>
      <c r="C55" s="29">
        <v>2022</v>
      </c>
      <c r="D55" s="29">
        <v>5</v>
      </c>
      <c r="E55" s="29">
        <v>54</v>
      </c>
      <c r="F55" s="29">
        <v>0.51446966179999998</v>
      </c>
      <c r="G55" s="30">
        <v>0.12891011799999999</v>
      </c>
    </row>
    <row r="56" spans="1:7" x14ac:dyDescent="0.35">
      <c r="A56" s="28"/>
      <c r="B56" s="28"/>
      <c r="C56" s="29">
        <v>2023</v>
      </c>
      <c r="D56" s="29">
        <v>5</v>
      </c>
      <c r="E56" s="29">
        <v>55</v>
      </c>
      <c r="F56" s="29">
        <v>0.59234834599999997</v>
      </c>
      <c r="G56" s="30">
        <v>7.715464E-3</v>
      </c>
    </row>
    <row r="57" spans="1:7" x14ac:dyDescent="0.35">
      <c r="A57" s="28">
        <v>12</v>
      </c>
      <c r="B57" s="28" t="s">
        <v>19</v>
      </c>
      <c r="C57" s="29">
        <v>2019</v>
      </c>
      <c r="D57" s="29">
        <v>3</v>
      </c>
      <c r="E57" s="29">
        <v>32</v>
      </c>
      <c r="F57" s="29">
        <v>1.3457332879999999</v>
      </c>
      <c r="G57" s="30">
        <v>6.8677909999999998E-3</v>
      </c>
    </row>
    <row r="58" spans="1:7" x14ac:dyDescent="0.35">
      <c r="A58" s="28"/>
      <c r="B58" s="28"/>
      <c r="C58" s="29">
        <v>2020</v>
      </c>
      <c r="D58" s="29">
        <v>3</v>
      </c>
      <c r="E58" s="29">
        <v>31</v>
      </c>
      <c r="F58" s="29">
        <v>1.04394579</v>
      </c>
      <c r="G58" s="30">
        <v>2.992687E-3</v>
      </c>
    </row>
    <row r="59" spans="1:7" x14ac:dyDescent="0.35">
      <c r="A59" s="28"/>
      <c r="B59" s="28"/>
      <c r="C59" s="29">
        <v>2021</v>
      </c>
      <c r="D59" s="29">
        <v>3</v>
      </c>
      <c r="E59" s="29">
        <v>33</v>
      </c>
      <c r="F59" s="29">
        <v>1.0804539550000001</v>
      </c>
      <c r="G59" s="30">
        <v>1.3121540000000001E-3</v>
      </c>
    </row>
    <row r="60" spans="1:7" x14ac:dyDescent="0.35">
      <c r="A60" s="28"/>
      <c r="B60" s="28"/>
      <c r="C60" s="29">
        <v>2022</v>
      </c>
      <c r="D60" s="29">
        <v>3</v>
      </c>
      <c r="E60" s="29">
        <v>45</v>
      </c>
      <c r="F60" s="29">
        <v>1.156448229</v>
      </c>
      <c r="G60" s="30">
        <v>-3.1131543000000001E-2</v>
      </c>
    </row>
    <row r="61" spans="1:7" x14ac:dyDescent="0.35">
      <c r="A61" s="28"/>
      <c r="B61" s="28"/>
      <c r="C61" s="29">
        <v>2023</v>
      </c>
      <c r="D61" s="29">
        <v>3</v>
      </c>
      <c r="E61" s="29">
        <v>46</v>
      </c>
      <c r="F61" s="29">
        <v>1.4739556190000001</v>
      </c>
      <c r="G61" s="30">
        <v>4.3372259999999996E-3</v>
      </c>
    </row>
    <row r="62" spans="1:7" x14ac:dyDescent="0.35">
      <c r="A62" s="28">
        <v>13</v>
      </c>
      <c r="B62" s="28" t="s">
        <v>17</v>
      </c>
      <c r="C62" s="29">
        <v>2019</v>
      </c>
      <c r="D62" s="29">
        <v>3</v>
      </c>
      <c r="E62" s="29">
        <v>7</v>
      </c>
      <c r="F62" s="29">
        <v>0.26910862600000002</v>
      </c>
      <c r="G62" s="30">
        <v>8.2891990000000006E-3</v>
      </c>
    </row>
    <row r="63" spans="1:7" x14ac:dyDescent="0.35">
      <c r="A63" s="28"/>
      <c r="B63" s="28"/>
      <c r="C63" s="29">
        <v>2020</v>
      </c>
      <c r="D63" s="29">
        <v>3</v>
      </c>
      <c r="E63" s="29">
        <v>10</v>
      </c>
      <c r="F63" s="29">
        <v>0.24268186999999999</v>
      </c>
      <c r="G63" s="30">
        <v>-7.6855312999999995E-2</v>
      </c>
    </row>
    <row r="64" spans="1:7" x14ac:dyDescent="0.35">
      <c r="A64" s="28"/>
      <c r="B64" s="28"/>
      <c r="C64" s="29">
        <v>2021</v>
      </c>
      <c r="D64" s="29">
        <v>3</v>
      </c>
      <c r="E64" s="29">
        <v>10</v>
      </c>
      <c r="F64" s="29">
        <v>5.0453858999999997E-2</v>
      </c>
      <c r="G64" s="30">
        <v>6.8352130999999997E-2</v>
      </c>
    </row>
    <row r="65" spans="1:7" x14ac:dyDescent="0.35">
      <c r="A65" s="28"/>
      <c r="B65" s="28"/>
      <c r="C65" s="29">
        <v>2022</v>
      </c>
      <c r="D65" s="29">
        <v>3</v>
      </c>
      <c r="E65" s="29">
        <v>10</v>
      </c>
      <c r="F65" s="29">
        <v>0.13371353699999999</v>
      </c>
      <c r="G65" s="30">
        <v>0.12126199999999999</v>
      </c>
    </row>
    <row r="66" spans="1:7" x14ac:dyDescent="0.35">
      <c r="A66" s="28"/>
      <c r="B66" s="28"/>
      <c r="C66" s="29">
        <v>2023</v>
      </c>
      <c r="D66" s="29">
        <v>3</v>
      </c>
      <c r="E66" s="29">
        <v>10</v>
      </c>
      <c r="F66" s="29">
        <v>0.171967658</v>
      </c>
      <c r="G66" s="30">
        <v>9.9724779999999999E-2</v>
      </c>
    </row>
    <row r="67" spans="1:7" x14ac:dyDescent="0.35">
      <c r="A67" s="28">
        <v>14</v>
      </c>
      <c r="B67" s="31" t="s">
        <v>16</v>
      </c>
      <c r="C67" s="29">
        <v>2019</v>
      </c>
      <c r="D67" s="29">
        <v>4</v>
      </c>
      <c r="E67" s="29">
        <v>54</v>
      </c>
      <c r="F67" s="29">
        <v>1.2798476169999999</v>
      </c>
      <c r="G67" s="30">
        <v>1.5322158000000001E-2</v>
      </c>
    </row>
    <row r="68" spans="1:7" x14ac:dyDescent="0.35">
      <c r="A68" s="28"/>
      <c r="B68" s="32"/>
      <c r="C68" s="29">
        <v>2020</v>
      </c>
      <c r="D68" s="29">
        <v>4</v>
      </c>
      <c r="E68" s="29">
        <v>54</v>
      </c>
      <c r="F68" s="29">
        <v>1.549193807</v>
      </c>
      <c r="G68" s="30">
        <v>-2.8639261999999999E-2</v>
      </c>
    </row>
    <row r="69" spans="1:7" x14ac:dyDescent="0.35">
      <c r="A69" s="28"/>
      <c r="B69" s="32"/>
      <c r="C69" s="29">
        <v>2021</v>
      </c>
      <c r="D69" s="29">
        <v>4</v>
      </c>
      <c r="E69" s="29">
        <v>56</v>
      </c>
      <c r="F69" s="29">
        <v>1.286490533</v>
      </c>
      <c r="G69" s="30">
        <v>4.8533699E-2</v>
      </c>
    </row>
    <row r="70" spans="1:7" x14ac:dyDescent="0.35">
      <c r="A70" s="28"/>
      <c r="B70" s="32"/>
      <c r="C70" s="29">
        <v>2022</v>
      </c>
      <c r="D70" s="29">
        <v>4</v>
      </c>
      <c r="E70" s="29">
        <v>56</v>
      </c>
      <c r="F70" s="29">
        <v>1.090453066</v>
      </c>
      <c r="G70" s="30">
        <v>5.5781841999999998E-2</v>
      </c>
    </row>
    <row r="71" spans="1:7" x14ac:dyDescent="0.35">
      <c r="A71" s="28"/>
      <c r="B71" s="33"/>
      <c r="C71" s="29">
        <v>2023</v>
      </c>
      <c r="D71" s="29">
        <v>4</v>
      </c>
      <c r="E71" s="29">
        <v>52</v>
      </c>
      <c r="F71" s="29">
        <v>0.86397926000000003</v>
      </c>
      <c r="G71" s="30">
        <v>5.7069599999999998E-2</v>
      </c>
    </row>
    <row r="72" spans="1:7" x14ac:dyDescent="0.35">
      <c r="A72" s="28">
        <v>15</v>
      </c>
      <c r="B72" s="28" t="s">
        <v>18</v>
      </c>
      <c r="C72" s="29">
        <v>2019</v>
      </c>
      <c r="D72" s="29">
        <v>4</v>
      </c>
      <c r="E72" s="29">
        <v>13</v>
      </c>
      <c r="F72" s="29">
        <v>3.4287961579999999</v>
      </c>
      <c r="G72" s="30">
        <v>-4.160207E-3</v>
      </c>
    </row>
    <row r="73" spans="1:7" x14ac:dyDescent="0.35">
      <c r="A73" s="28"/>
      <c r="B73" s="28"/>
      <c r="C73" s="29">
        <v>2020</v>
      </c>
      <c r="D73" s="29">
        <v>4</v>
      </c>
      <c r="E73" s="29">
        <v>13</v>
      </c>
      <c r="F73" s="29">
        <v>3.921541366</v>
      </c>
      <c r="G73" s="30">
        <v>-3.0047252999999999E-2</v>
      </c>
    </row>
    <row r="74" spans="1:7" x14ac:dyDescent="0.35">
      <c r="A74" s="28"/>
      <c r="B74" s="28"/>
      <c r="C74" s="29">
        <v>2021</v>
      </c>
      <c r="D74" s="29">
        <v>4</v>
      </c>
      <c r="E74" s="29">
        <v>13</v>
      </c>
      <c r="F74" s="29">
        <v>3.9443937500000001</v>
      </c>
      <c r="G74" s="30">
        <v>1.1013726999999999E-2</v>
      </c>
    </row>
    <row r="75" spans="1:7" x14ac:dyDescent="0.35">
      <c r="A75" s="28"/>
      <c r="B75" s="28"/>
      <c r="C75" s="29">
        <v>2022</v>
      </c>
      <c r="D75" s="29">
        <v>4</v>
      </c>
      <c r="E75" s="29">
        <v>13</v>
      </c>
      <c r="F75" s="29">
        <v>2.9667119710000001</v>
      </c>
      <c r="G75" s="30">
        <v>7.9546715000000004E-2</v>
      </c>
    </row>
    <row r="76" spans="1:7" x14ac:dyDescent="0.35">
      <c r="A76" s="28"/>
      <c r="B76" s="28"/>
      <c r="C76" s="29">
        <v>2023</v>
      </c>
      <c r="D76" s="29">
        <v>4</v>
      </c>
      <c r="E76" s="29">
        <v>13</v>
      </c>
      <c r="F76" s="29">
        <v>2.6833354859999998</v>
      </c>
      <c r="G76" s="30">
        <v>4.6298065999999999E-2</v>
      </c>
    </row>
  </sheetData>
  <mergeCells count="30">
    <mergeCell ref="A62:A66"/>
    <mergeCell ref="B62:B66"/>
    <mergeCell ref="A67:A71"/>
    <mergeCell ref="B67:B71"/>
    <mergeCell ref="A72:A76"/>
    <mergeCell ref="B72:B76"/>
    <mergeCell ref="A47:A51"/>
    <mergeCell ref="B47:B51"/>
    <mergeCell ref="A52:A56"/>
    <mergeCell ref="B52:B56"/>
    <mergeCell ref="A57:A61"/>
    <mergeCell ref="B57:B61"/>
    <mergeCell ref="A32:A36"/>
    <mergeCell ref="B32:B36"/>
    <mergeCell ref="A37:A41"/>
    <mergeCell ref="B37:B41"/>
    <mergeCell ref="A42:A46"/>
    <mergeCell ref="B42:B46"/>
    <mergeCell ref="A17:A21"/>
    <mergeCell ref="B17:B21"/>
    <mergeCell ref="A22:A26"/>
    <mergeCell ref="B22:B26"/>
    <mergeCell ref="A27:A31"/>
    <mergeCell ref="B27:B31"/>
    <mergeCell ref="A2:A6"/>
    <mergeCell ref="B2:B6"/>
    <mergeCell ref="A7:A11"/>
    <mergeCell ref="B7:B11"/>
    <mergeCell ref="A12:A16"/>
    <mergeCell ref="B12:B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ROA</vt:lpstr>
      <vt:lpstr>DER</vt:lpstr>
      <vt:lpstr>SR-GRI4</vt:lpstr>
      <vt:lpstr>PROPER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Novita Adelia</dc:creator>
  <cp:lastModifiedBy>Novita Adelia</cp:lastModifiedBy>
  <dcterms:created xsi:type="dcterms:W3CDTF">2025-05-03T06:46:20Z</dcterms:created>
  <dcterms:modified xsi:type="dcterms:W3CDTF">2025-05-03T08:01:02Z</dcterms:modified>
</cp:coreProperties>
</file>